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showInkAnnotation="0" codeName="ThisWorkbook" defaultThemeVersion="166925"/>
  <mc:AlternateContent xmlns:mc="http://schemas.openxmlformats.org/markup-compatibility/2006">
    <mc:Choice Requires="x15">
      <x15ac:absPath xmlns:x15ac="http://schemas.microsoft.com/office/spreadsheetml/2010/11/ac" url="https://fonturcolombia.sharepoint.com/sites/intranetfontur/fontur/Documentos compartidos/CONTROL INTERNO/Reporte Pagina Web/2. JULIO 2022/Reporte Ekogui/"/>
    </mc:Choice>
  </mc:AlternateContent>
  <xr:revisionPtr revIDLastSave="2" documentId="13_ncr:1_{D54DE5EB-1242-4FC3-B790-D42191661A6A}" xr6:coauthVersionLast="47" xr6:coauthVersionMax="47" xr10:uidLastSave="{CB1009EB-9689-424F-89A9-CF412F4308C7}"/>
  <bookViews>
    <workbookView xWindow="-120" yWindow="-120" windowWidth="20730" windowHeight="11040" tabRatio="77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<sst xmlns="http://schemas.openxmlformats.org/spreadsheetml/2006/main" count="272" uniqueCount="194">
  <si>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</si>
  <si>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</si>
  <si>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</si>
  <si>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</si>
  <si>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</si>
  <si>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</si>
  <si>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</si>
  <si>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</si>
  <si>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</si>
  <si>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</si>
  <si>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</si>
  <si>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</si>
  <si>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</si>
  <si>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</si>
  <si>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</si>
  <si>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</si>
  <si>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</si>
  <si>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</si>
  <si>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</si>
  <si>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</si>
  <si>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</si>
  <si>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</si>
  <si>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</si>
  <si>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</si>
  <si>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</si>
  <si>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</si>
  <si>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</si>
  <si>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</si>
  <si>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</si>
  <si>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</si>
  <si>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</si>
  <si>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</si>
  <si>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</si>
  <si>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</si>
  <si>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</si>
  <si>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</si>
  <si>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</si>
  <si>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</si>
  <si>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</si>
  <si>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</si>
  <si>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</si>
  <si>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</si>
  <si>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</si>
  <si>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</si>
  <si>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</si>
  <si>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</si>
  <si>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</si>
  <si>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</si>
  <si>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</si>
  <si>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</si>
  <si>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</si>
  <si>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</si>
  <si>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</si>
  <si>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</si>
  <si>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</si>
  <si>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</si>
  <si>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</si>
  <si>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</si>
  <si>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</si>
  <si>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</si>
  <si>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</si>
  <si>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</si>
  <si>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</si>
  <si>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</si>
  <si>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</si>
  <si>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</si>
  <si>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</si>
  <si>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</si>
  <si>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</si>
  <si>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</si>
  <si>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</si>
  <si>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</si>
  <si>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</si>
  <si>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</si>
  <si>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</si>
  <si>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</si>
  <si>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</si>
  <si>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</si>
  <si>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</si>
  <si>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</si>
  <si>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</si>
  <si>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</si>
  <si>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</si>
  <si>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</si>
  <si>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</si>
  <si>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</si>
  <si>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</si>
  <si>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</si>
  <si>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</si>
  <si>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</si>
  <si>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</si>
  <si>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</si>
  <si>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</si>
  <si>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</si>
  <si>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</si>
  <si>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</si>
  <si>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</si>
  <si>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</si>
  <si>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</si>
  <si>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</si>
  <si>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</si>
  <si>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</si>
  <si>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</si>
  <si>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</si>
  <si>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</si>
  <si>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</si>
  <si>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</si>
  <si>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</si>
  <si>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</si>
  <si>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</si>
  <si>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</si>
  <si>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</si>
  <si>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</si>
  <si>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(2) Con fecha de actuación en 2021</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</si>
  <si>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</si>
  <si>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</si>
  <si>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</si>
  <si>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</si>
  <si>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</si>
  <si>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</si>
  <si>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</si>
  <si>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</si>
  <si>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</si>
  <si>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</si>
  <si>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</si>
  <si>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</si>
  <si>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</si>
  <si>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</si>
  <si>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</si>
  <si>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</si>
  <si>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</si>
  <si>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</si>
  <si>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</si>
  <si>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</si>
  <si>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</si>
  <si>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</si>
  <si>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</si>
  <si>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</si>
  <si>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</si>
  <si>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</si>
  <si>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</si>
  <si>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</si>
  <si>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</si>
  <si>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</si>
  <si>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</si>
  <si>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</si>
  <si>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</si>
  <si>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</si>
  <si>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</si>
  <si>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Abogados al 31 de diciembre de 2021</t>
  </si>
  <si>
    <t>ABOGADOS ACTIVOS AL 31-12-2021</t>
  </si>
  <si>
    <t>PROCESOS ACTIVOS AL 31 DE DICIEMBRE DE 2021</t>
  </si>
  <si>
    <t>(1) Con fecha de registro anterior al 15-12-2021</t>
  </si>
  <si>
    <t>PROCESOS TERMINADOS SEGUNDO SEMESTRE 2021</t>
  </si>
  <si>
    <t>PROCESOS TERMINADOS DURANTE SEGUNDO SEMESTRE 2021</t>
  </si>
  <si>
    <t>TERMINADOS EN EKOGUI DURANTE SEGUNDO SEMESTRE 2021 (2)</t>
  </si>
  <si>
    <t>PROCESO TERMINADOS AL 31 DE DICIEMBRE 2021</t>
  </si>
  <si>
    <r>
      <t>(3)En el reporte de activos al 31 de diciembre verifique la columna</t>
    </r>
    <r>
      <rPr>
        <b/>
        <i/>
        <sz val="9"/>
        <color theme="1"/>
        <rFont val="Calibri"/>
        <family val="2"/>
        <scheme val="minor"/>
      </rPr>
      <t xml:space="preserve"> Estado General del proceso</t>
    </r>
  </si>
  <si>
    <t>(4)Equivalente a un valor indexado de $29.981 millones a 31 de diciembre de 2021</t>
  </si>
  <si>
    <t>PROCESOS ACTIVOS EN CALIDAD DEMANDADO AL 31-12-2021</t>
  </si>
  <si>
    <t>PROCESOS CON CALIFICACIÓN SEGUNDO SEMESTRE 2021</t>
  </si>
  <si>
    <t>PROCESOS CON CALIFICACIÓN ANTERIOR A 30-06-2021</t>
  </si>
  <si>
    <t>(6) Solo se consideran los procesos activos - calidad demandado al 31 de DICIEMBRE de 2021 que tengan calificación de riesgo</t>
  </si>
  <si>
    <t># PROCESOS</t>
  </si>
  <si>
    <t>REGISTRO POSTERIOR AL 01/07/2021</t>
  </si>
  <si>
    <t>REGISTRO EN 2020 Y ANTERIORES</t>
  </si>
  <si>
    <t>TOTAL PREJUDICIALES TERMINADOS II SEM. 2021</t>
  </si>
  <si>
    <t>TERMINADOS ÚLTIMA ACTUACIÓN II SEM. 2021</t>
  </si>
  <si>
    <t>ARBITRAMENTOS ACTIVOS AL 31-12-2021</t>
  </si>
  <si>
    <t>TOTAL ARBITRAMENTOS TERMINADOS  AL 31-12-2021</t>
  </si>
  <si>
    <t>NOMBRE ENTIDAD</t>
  </si>
  <si>
    <t>NOMBRE Y APELLIDO JEFE CONTROL INTERNO</t>
  </si>
  <si>
    <t>Favor Diligenciar los Campos Resaltados y Revisar la Información Incompleta Antes de Remitir a la ANDJE</t>
  </si>
  <si>
    <t>Pagos enlazados al 31-12-2021</t>
  </si>
  <si>
    <t>Favor Diligenciar los campos Resaltados</t>
  </si>
  <si>
    <t>RETIRADOS EN LA ENTIDAD SEGUNDO SEMESTRE 2021</t>
  </si>
  <si>
    <t>INACTIVADOS EN EKOGUI SEGUNDO SEMESTRE 2021</t>
  </si>
  <si>
    <t>Conciliaciones Prejudiciales</t>
  </si>
  <si>
    <t>PREJUDICIALES ACTIVAS AL 31-12-2021</t>
  </si>
  <si>
    <t>PREJUDICIALES TERMINADAS SEGUNDO SEMESTRE 2021</t>
  </si>
  <si>
    <t>Procesos que se encuentran terminados</t>
  </si>
  <si>
    <t>REGISTRO ENTRE 1 DE ENERO Y 30 DE JUNIO 2021</t>
  </si>
  <si>
    <t>DIEGO FERNANDO LOPEZ ROMERO</t>
  </si>
  <si>
    <t>DANIEL ALFREDO MUÑOZ LOPEZ</t>
  </si>
  <si>
    <t>CAMILO ALFONSO HERRERA URREGO</t>
  </si>
  <si>
    <t>SANDRA VERONICA BETANCUR RESTREPO</t>
  </si>
  <si>
    <t>FONDO NACIONAL DEL TURISMO - FONTUR</t>
  </si>
  <si>
    <t>De acuerdo a lo informado por el Jefe Jurídico, el PA FONTUR, no se encuentra relacionado en el artículo 2.9.1.1.3 del Decreto 1068 de 2015, que establece que entidades están a usar el SIIF Nación.</t>
  </si>
  <si>
    <t>Nota 1: La fuente de información oficial de las conciliaciones Prejudiciales es Ekogui</t>
  </si>
  <si>
    <t>Nota 1: La fuente de información oficial de las conciliaciones Prejudiciales es eKOGUI</t>
  </si>
  <si>
    <t>Nota 1: La totalidad de los abogados que se encontraban litigando al 30/06/2021, se encontraban registrados en eKOGUI con su correo electronico actualizado.
Nota 2: Los ABOGADOS activos en eKOGUI que no se encuentran litigando cumplen funciones de apoyo, por ende, la diferencia NO corresponde a abogados desactualizados o que deban ser inactivados en el sistema.
Nota 3:El abogado retirado en el segundo semestre de 2021 no inactivado de eKOGUI corresponde a Ángel Daniel Caro Muñoz cc 1014185703 retirado el 7 de octubre de 2021
Nota 4: El abogado sin información laboral registrada en eKOGUI corresponde a Luis Carlos Gonzalez Jimenez
Nota 5: Los abogados que no presentan evidencia de capacitación corresponden a los siguientes: Carlos Eduardo Medellin y Andrea Carolina Martinez</t>
  </si>
  <si>
    <t>Ver observaciones en cada uno de los modulos</t>
  </si>
  <si>
    <t>Nota 1. La fuente de información oficial de los procesos judiciales del P.A. FONTUR es el sistema eKOGUI
Nota 2: Los procesos ACTIVOS que presentan "PROCESO_TERMINADO" en la columna "Estado General Del Proceso" corresponden a los siguientes: 939305, 2060213 y 2152874
Nota 3: Los procesos cuya calificación del riesgo se efectuó antes del 30 de junio de 2021, fueron actualizados durante el primer semestre de 2021.
Nota 4: El proceso que no presenta calificación corresponde al 2177531 el cual fue actualizado el 2 de marzo de 2022.
Nota 5: Los procesos con probabilidad media con provisión corresponden a los siguientes; 2081551 y 2112816 y  los procesos con probabilidad baja con provisión corresponden a los siguientes; 2115085 y  2143880</t>
  </si>
  <si>
    <t>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</si>
</sst>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0" xfId="0" applyFill="1" applyBorder="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applyFont="1"/>
    <xf numFmtId="164" fontId="15" fillId="0" borderId="0" xfId="2" applyNumberFormat="1"/>
    <xf numFmtId="0" fontId="15" fillId="4" borderId="0" xfId="2" applyFont="1" applyFill="1"/>
    <xf numFmtId="0" fontId="15" fillId="4" borderId="0" xfId="2" applyFont="1" applyFill="1" applyBorder="1"/>
    <xf numFmtId="0" fontId="15" fillId="4" borderId="0" xfId="2" applyFont="1"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Fill="1" applyBorder="1" applyProtection="1">
      <protection hidden="1"/>
    </xf>
    <xf numFmtId="0" fontId="0" fillId="2" borderId="0" xfId="0" applyFill="1" applyBorder="1" applyAlignment="1">
      <alignment horizontal="center"/>
    </xf>
    <xf numFmtId="0" fontId="4" fillId="2" borderId="0" xfId="0" applyFont="1" applyFill="1" applyProtection="1"/>
    <xf numFmtId="0" fontId="0" fillId="2" borderId="0" xfId="0" applyFill="1" applyBorder="1" applyAlignment="1" applyProtection="1"/>
    <xf numFmtId="0" fontId="0" fillId="0" borderId="0" xfId="0" applyBorder="1" applyProtection="1"/>
    <xf numFmtId="0" fontId="0" fillId="2" borderId="5" xfId="0" applyFill="1" applyBorder="1" applyProtection="1"/>
    <xf numFmtId="0" fontId="0" fillId="0" borderId="0" xfId="0" applyFill="1" applyProtection="1"/>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Border="1" applyAlignment="1">
      <alignment horizontal="center" vertical="center"/>
    </xf>
    <xf numFmtId="0" fontId="17" fillId="0" borderId="0"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6" borderId="13" xfId="0" applyFill="1" applyBorder="1" applyAlignment="1" applyProtection="1">
      <alignment horizontal="left" vertical="top"/>
      <protection locked="0"/>
    </xf>
    <xf numFmtId="0" fontId="0" fillId="6" borderId="7" xfId="0" applyFill="1" applyBorder="1" applyAlignment="1" applyProtection="1">
      <alignment horizontal="center" vertical="top"/>
      <protection locked="0"/>
    </xf>
    <xf numFmtId="0" fontId="6" fillId="0" borderId="0" xfId="0" applyFont="1" applyBorder="1" applyAlignment="1">
      <alignment horizontal="center"/>
    </xf>
  </cellXfs>
  <cellStyles count="3">
    <cellStyle name="Excel Built-in Normal" xfId="2" xr:uid="{00000000-0005-0000-0000-000000000000}"/>
    <cellStyle name="Normal" xfId="0" builtinId="0"/>
    <cellStyle name="Porcentaje" xfId="1" builtinId="5"/>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 y Validaci&#243;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abSelected="1"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91" t="s">
        <v>78</v>
      </c>
      <c r="C3" s="92"/>
      <c r="D3" s="92"/>
      <c r="E3" s="92"/>
      <c r="F3" s="92"/>
      <c r="G3" s="92"/>
      <c r="H3" s="92"/>
      <c r="I3" s="92"/>
      <c r="J3" s="92"/>
      <c r="K3" s="92"/>
      <c r="L3" s="92"/>
      <c r="M3" s="92"/>
      <c r="N3" s="92"/>
      <c r="O3" s="93"/>
    </row>
    <row r="4" spans="2:15" ht="23.25" x14ac:dyDescent="0.35">
      <c r="B4" s="91" t="s">
        <v>11</v>
      </c>
      <c r="C4" s="92"/>
      <c r="D4" s="92"/>
      <c r="E4" s="92"/>
      <c r="F4" s="92"/>
      <c r="G4" s="92"/>
      <c r="H4" s="92"/>
      <c r="I4" s="92"/>
      <c r="J4" s="92"/>
      <c r="K4" s="92"/>
      <c r="L4" s="92"/>
      <c r="M4" s="92"/>
      <c r="N4" s="92"/>
      <c r="O4" s="93"/>
    </row>
    <row r="5" spans="2:15" x14ac:dyDescent="0.25">
      <c r="B5" s="5"/>
      <c r="C5" s="6"/>
      <c r="D5" s="6"/>
      <c r="E5" s="6"/>
      <c r="F5" s="6"/>
      <c r="G5" s="6"/>
      <c r="H5" s="6"/>
      <c r="I5" s="6"/>
      <c r="J5" s="6"/>
      <c r="K5" s="6"/>
      <c r="L5" s="6"/>
      <c r="M5" s="6"/>
      <c r="N5" s="6"/>
      <c r="O5" s="7"/>
    </row>
    <row r="6" spans="2:15" x14ac:dyDescent="0.25">
      <c r="B6" s="5"/>
      <c r="C6" s="94" t="s">
        <v>91</v>
      </c>
      <c r="D6" s="94"/>
      <c r="E6" s="94"/>
      <c r="F6" s="94"/>
      <c r="G6" s="94"/>
      <c r="H6" s="94"/>
      <c r="I6" s="94"/>
      <c r="J6" s="94"/>
      <c r="K6" s="94"/>
      <c r="L6" s="94"/>
      <c r="M6" s="94"/>
      <c r="N6" s="94"/>
      <c r="O6" s="7"/>
    </row>
    <row r="7" spans="2:15" x14ac:dyDescent="0.25">
      <c r="B7" s="5"/>
      <c r="C7" s="94"/>
      <c r="D7" s="94"/>
      <c r="E7" s="94"/>
      <c r="F7" s="94"/>
      <c r="G7" s="94"/>
      <c r="H7" s="94"/>
      <c r="I7" s="94"/>
      <c r="J7" s="94"/>
      <c r="K7" s="94"/>
      <c r="L7" s="94"/>
      <c r="M7" s="94"/>
      <c r="N7" s="94"/>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jixiNfD+nofjAxMPyQEwidGoTJEdLEh3lZobn98nwgWvzNuweENJPEe6u5elpVqKe6ynHDatuY0qk+QHeybBlg==" saltValue="4rftt6+0w0ym0OjRMUwWOw=="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zoomScale="89" zoomScaleNormal="89" workbookViewId="0">
      <selection activeCell="D15" sqref="D15"/>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95" t="s">
        <v>109</v>
      </c>
      <c r="C7" s="96"/>
      <c r="D7" s="96"/>
      <c r="E7" s="96"/>
      <c r="F7" s="96"/>
      <c r="G7" s="97"/>
      <c r="T7" s="1" t="s">
        <v>12</v>
      </c>
    </row>
    <row r="8" spans="2:20" ht="15.75" thickBot="1" x14ac:dyDescent="0.3">
      <c r="B8" s="14"/>
      <c r="C8" s="15"/>
      <c r="D8" s="103" t="s">
        <v>148</v>
      </c>
      <c r="E8" s="103"/>
      <c r="F8" s="15"/>
      <c r="G8" s="16"/>
      <c r="T8" s="1" t="s">
        <v>13</v>
      </c>
    </row>
    <row r="9" spans="2:20" ht="15.75" thickBot="1" x14ac:dyDescent="0.3">
      <c r="B9" s="101" t="s">
        <v>111</v>
      </c>
      <c r="C9" s="102"/>
      <c r="D9" s="79">
        <v>44638</v>
      </c>
      <c r="E9" s="15"/>
      <c r="F9" s="15"/>
      <c r="G9" s="16"/>
      <c r="T9" s="1" t="s">
        <v>14</v>
      </c>
    </row>
    <row r="10" spans="2:20" x14ac:dyDescent="0.25">
      <c r="B10" s="14" t="s">
        <v>174</v>
      </c>
      <c r="C10" s="15"/>
      <c r="D10" s="15"/>
      <c r="E10" s="15"/>
      <c r="F10" s="15"/>
      <c r="G10" s="67">
        <v>43545</v>
      </c>
    </row>
    <row r="11" spans="2:20" x14ac:dyDescent="0.25">
      <c r="B11" s="22" t="s">
        <v>15</v>
      </c>
      <c r="C11" s="23" t="s">
        <v>16</v>
      </c>
      <c r="D11" s="24" t="s">
        <v>6</v>
      </c>
      <c r="E11" s="23" t="s">
        <v>7</v>
      </c>
      <c r="F11" s="23" t="s">
        <v>17</v>
      </c>
      <c r="G11" s="25" t="s">
        <v>79</v>
      </c>
    </row>
    <row r="12" spans="2:20" x14ac:dyDescent="0.25">
      <c r="B12" s="21" t="s">
        <v>0</v>
      </c>
      <c r="C12" s="78" t="s">
        <v>13</v>
      </c>
      <c r="D12" s="79"/>
      <c r="E12" s="78"/>
      <c r="F12" s="79"/>
      <c r="G12" s="80" t="str">
        <f>+IF(C12="SI",IF(F12&lt;$G$10,"DESACTUALIZADO",""),"")</f>
        <v/>
      </c>
      <c r="H12" s="42">
        <f t="shared" ref="H12:H17" si="0">+IF(C12="N/A",1,0)</f>
        <v>0</v>
      </c>
      <c r="I12" s="42">
        <f t="shared" ref="I12:I17" si="1">+IF(C12="Si",1,0)</f>
        <v>0</v>
      </c>
      <c r="J12" s="42">
        <f t="shared" ref="J12:J17" si="2">+IF(C12="No",1,0)</f>
        <v>1</v>
      </c>
    </row>
    <row r="13" spans="2:20" x14ac:dyDescent="0.25">
      <c r="B13" s="21" t="s">
        <v>1</v>
      </c>
      <c r="C13" s="78" t="s">
        <v>12</v>
      </c>
      <c r="D13" s="79">
        <v>44337</v>
      </c>
      <c r="E13" s="78" t="s">
        <v>182</v>
      </c>
      <c r="F13" s="79">
        <v>43992</v>
      </c>
      <c r="G13" s="80" t="str">
        <f t="shared" ref="G13:G17" si="3">+IF(C13="SI",IF(F13&lt;$G$10,"DESACTUALIZADO",""),"")</f>
        <v/>
      </c>
      <c r="H13" s="42">
        <f t="shared" si="0"/>
        <v>0</v>
      </c>
      <c r="I13" s="42">
        <f t="shared" si="1"/>
        <v>1</v>
      </c>
      <c r="J13" s="42">
        <f t="shared" si="2"/>
        <v>0</v>
      </c>
    </row>
    <row r="14" spans="2:20" x14ac:dyDescent="0.25">
      <c r="B14" s="21" t="s">
        <v>2</v>
      </c>
      <c r="C14" s="78" t="s">
        <v>13</v>
      </c>
      <c r="D14" s="78"/>
      <c r="E14" s="78"/>
      <c r="F14" s="78"/>
      <c r="G14" s="80" t="str">
        <f t="shared" si="3"/>
        <v/>
      </c>
      <c r="H14" s="42">
        <f t="shared" si="0"/>
        <v>0</v>
      </c>
      <c r="I14" s="42">
        <f t="shared" si="1"/>
        <v>0</v>
      </c>
      <c r="J14" s="42">
        <f t="shared" si="2"/>
        <v>1</v>
      </c>
      <c r="T14" s="48">
        <v>43545</v>
      </c>
    </row>
    <row r="15" spans="2:20" x14ac:dyDescent="0.25">
      <c r="B15" s="21" t="s">
        <v>3</v>
      </c>
      <c r="C15" s="78" t="s">
        <v>12</v>
      </c>
      <c r="D15" s="79">
        <v>42388</v>
      </c>
      <c r="E15" s="78" t="s">
        <v>183</v>
      </c>
      <c r="F15" s="79">
        <v>44614</v>
      </c>
      <c r="G15" s="80" t="str">
        <f t="shared" si="3"/>
        <v/>
      </c>
      <c r="H15" s="42">
        <f t="shared" si="0"/>
        <v>0</v>
      </c>
      <c r="I15" s="42">
        <f t="shared" si="1"/>
        <v>1</v>
      </c>
      <c r="J15" s="42">
        <f t="shared" si="2"/>
        <v>0</v>
      </c>
    </row>
    <row r="16" spans="2:20" x14ac:dyDescent="0.25">
      <c r="B16" s="21" t="s">
        <v>4</v>
      </c>
      <c r="C16" s="78" t="s">
        <v>12</v>
      </c>
      <c r="D16" s="79">
        <v>44445</v>
      </c>
      <c r="E16" s="78" t="s">
        <v>184</v>
      </c>
      <c r="F16" s="79">
        <v>44629</v>
      </c>
      <c r="G16" s="80" t="str">
        <f t="shared" si="3"/>
        <v/>
      </c>
      <c r="H16" s="42">
        <f t="shared" si="0"/>
        <v>0</v>
      </c>
      <c r="I16" s="42">
        <f t="shared" si="1"/>
        <v>1</v>
      </c>
      <c r="J16" s="42">
        <f t="shared" si="2"/>
        <v>0</v>
      </c>
    </row>
    <row r="17" spans="2:10" x14ac:dyDescent="0.25">
      <c r="B17" s="21" t="s">
        <v>5</v>
      </c>
      <c r="C17" s="78" t="s">
        <v>12</v>
      </c>
      <c r="D17" s="79">
        <v>44483</v>
      </c>
      <c r="E17" s="78" t="s">
        <v>185</v>
      </c>
      <c r="F17" s="79">
        <v>44512</v>
      </c>
      <c r="G17" s="80"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62" t="s">
        <v>94</v>
      </c>
      <c r="C19" s="98" t="s">
        <v>193</v>
      </c>
      <c r="D19" s="99"/>
      <c r="E19" s="99"/>
      <c r="F19" s="99"/>
      <c r="G19" s="100"/>
    </row>
  </sheetData>
  <sheetProtection algorithmName="SHA-512" hashValue="oHz1DPDdCQTfk6HZYZzwTSwYDKTppR1PbQ2tnrxwRrliyvD3HJxqgmjnxso6QvoYykx3jGyO1xZtda5gpn7FiQ==" saltValue="yDPNcT7s0avqeYJyH+YnUg==" spinCount="100000" sheet="1" objects="1" scenarios="1"/>
  <dataConsolidate/>
  <mergeCells count="4">
    <mergeCell ref="B7:G7"/>
    <mergeCell ref="C19:G19"/>
    <mergeCell ref="B9:C9"/>
    <mergeCell ref="D8:E8"/>
  </mergeCells>
  <conditionalFormatting sqref="C12:C17">
    <cfRule type="containsText" dxfId="41" priority="13" operator="containsText" text="N/A">
      <formula>NOT(ISERROR(SEARCH("N/A",C12)))</formula>
    </cfRule>
    <cfRule type="containsBlanks" dxfId="40" priority="21">
      <formula>LEN(TRIM(C12))=0</formula>
    </cfRule>
  </conditionalFormatting>
  <conditionalFormatting sqref="D9">
    <cfRule type="containsBlanks" dxfId="39" priority="20">
      <formula>LEN(TRIM(D9))=0</formula>
    </cfRule>
  </conditionalFormatting>
  <conditionalFormatting sqref="D12:F17">
    <cfRule type="containsBlanks" dxfId="38" priority="15">
      <formula>LEN(TRIM(D12))=0</formula>
    </cfRule>
  </conditionalFormatting>
  <conditionalFormatting sqref="C19">
    <cfRule type="containsBlanks" dxfId="37" priority="14">
      <formula>LEN(TRIM(C19))=0</formula>
    </cfRule>
  </conditionalFormatting>
  <conditionalFormatting sqref="D12:F12">
    <cfRule type="expression" dxfId="36" priority="9">
      <formula>OR($C$12="No",$C$12="N/A")</formula>
    </cfRule>
  </conditionalFormatting>
  <conditionalFormatting sqref="D14:F14">
    <cfRule type="expression" dxfId="35" priority="8">
      <formula>OR($C$14="No",$C$14="N/A")</formula>
    </cfRule>
  </conditionalFormatting>
  <conditionalFormatting sqref="D13:F13">
    <cfRule type="expression" dxfId="34" priority="6">
      <formula>OR($C$13="No",$C$13="N/A")</formula>
    </cfRule>
  </conditionalFormatting>
  <conditionalFormatting sqref="D15:F15">
    <cfRule type="expression" dxfId="33" priority="4">
      <formula>OR($C$15="No",$C$15="N/A")</formula>
    </cfRule>
  </conditionalFormatting>
  <conditionalFormatting sqref="D16:F16">
    <cfRule type="expression" dxfId="32" priority="3">
      <formula>OR($C$16="No",$C$16="N/A")</formula>
    </cfRule>
  </conditionalFormatting>
  <conditionalFormatting sqref="D17:F17">
    <cfRule type="expression" dxfId="31" priority="2">
      <formula>OR($C$17="No",$C$17="N/A")</formula>
    </cfRule>
  </conditionalFormatting>
  <conditionalFormatting sqref="D16:E16">
    <cfRule type="expression" dxfId="30" priority="1">
      <formula>OR($C$17="No",$C$17="N/A")</formula>
    </cfRule>
  </conditionalFormatting>
  <dataValidations count="5">
    <dataValidation type="date" showInputMessage="1" showErrorMessage="1" promptTitle="Fecha de Generacion del Reporte" prompt="Indique la fecha en que genera o Elabora este reporte de Usuarios Activos  No Abogados" sqref="D9" xr:uid="{00000000-0002-0000-0100-000000000000}">
      <formula1>44580</formula1>
      <formula2>44642</formula2>
    </dataValidation>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xr:uid="{00000000-0002-0000-0100-000001000000}">
      <formula1>40544</formula1>
      <formula2>44651</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2000000}">
      <formula1>$T$7:$T$9</formula1>
    </dataValidation>
    <dataValidation showInputMessage="1" showErrorMessage="1" sqref="E12 E14:E17" xr:uid="{00000000-0002-0000-0100-000003000000}"/>
    <dataValidation showInputMessage="1" showErrorMessage="1" errorTitle="Fecha invalida" error="La fecha debe estar entre el 01/01/2011 y el 31/03/2022" sqref="E13" xr:uid="{00000000-0002-0000-0100-000004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C22" sqref="C22:G25"/>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10</v>
      </c>
    </row>
    <row r="4" spans="2:22" x14ac:dyDescent="0.25">
      <c r="B4" s="14"/>
      <c r="C4" s="15"/>
      <c r="D4" s="15"/>
      <c r="E4" s="15"/>
      <c r="F4" s="15"/>
      <c r="G4" s="15"/>
      <c r="H4" s="16"/>
    </row>
    <row r="5" spans="2:22" x14ac:dyDescent="0.25">
      <c r="B5" s="14"/>
      <c r="C5" s="15"/>
      <c r="D5" s="15" t="s">
        <v>148</v>
      </c>
      <c r="E5" s="15"/>
      <c r="F5" s="15"/>
      <c r="G5" s="15"/>
      <c r="H5" s="16"/>
    </row>
    <row r="6" spans="2:22" ht="15" customHeight="1" x14ac:dyDescent="0.25">
      <c r="B6" s="14"/>
      <c r="C6" s="27"/>
      <c r="D6" s="27"/>
      <c r="E6" s="27"/>
      <c r="G6" s="32"/>
      <c r="H6" s="33"/>
    </row>
    <row r="7" spans="2:22" ht="17.25" customHeight="1" x14ac:dyDescent="0.35">
      <c r="B7" s="14"/>
      <c r="C7" s="20" t="s">
        <v>111</v>
      </c>
      <c r="D7" s="79">
        <v>44638</v>
      </c>
      <c r="E7" s="26"/>
      <c r="F7" s="104" t="str">
        <f>"Seleccione una muestra de "&amp;V3&amp;" abogados activos y complete la siguiente tabla"</f>
        <v>Seleccione una muestra de 10 abogados activos y complete la siguiente tabla</v>
      </c>
      <c r="G7" s="105"/>
      <c r="H7" s="33"/>
    </row>
    <row r="8" spans="2:22" x14ac:dyDescent="0.25">
      <c r="B8" s="14"/>
      <c r="D8" s="15"/>
      <c r="E8" s="15"/>
      <c r="F8" s="106"/>
      <c r="G8" s="107"/>
      <c r="H8" s="16"/>
      <c r="T8" s="1" t="s">
        <v>13</v>
      </c>
    </row>
    <row r="9" spans="2:22" ht="23.25" x14ac:dyDescent="0.25">
      <c r="B9" s="14"/>
      <c r="C9" s="34" t="s">
        <v>149</v>
      </c>
      <c r="E9" s="6"/>
      <c r="F9" s="24" t="s">
        <v>98</v>
      </c>
      <c r="G9" s="24" t="s">
        <v>19</v>
      </c>
      <c r="H9" s="16"/>
      <c r="T9" s="1" t="s">
        <v>14</v>
      </c>
    </row>
    <row r="10" spans="2:22" x14ac:dyDescent="0.25">
      <c r="B10" s="14"/>
      <c r="C10" s="23" t="s">
        <v>150</v>
      </c>
      <c r="D10" s="23" t="s">
        <v>23</v>
      </c>
      <c r="E10" s="6"/>
      <c r="F10" s="20" t="s">
        <v>95</v>
      </c>
      <c r="G10" s="78">
        <v>10</v>
      </c>
      <c r="H10" s="16"/>
    </row>
    <row r="11" spans="2:22" x14ac:dyDescent="0.25">
      <c r="B11" s="14"/>
      <c r="C11" s="20" t="s">
        <v>21</v>
      </c>
      <c r="D11" s="78">
        <v>10</v>
      </c>
      <c r="E11" s="6"/>
      <c r="F11" s="20" t="s">
        <v>96</v>
      </c>
      <c r="G11" s="78">
        <v>10</v>
      </c>
      <c r="H11" s="16"/>
    </row>
    <row r="12" spans="2:22" x14ac:dyDescent="0.25">
      <c r="B12" s="14"/>
      <c r="C12" s="20" t="s">
        <v>22</v>
      </c>
      <c r="D12" s="78">
        <v>14</v>
      </c>
      <c r="E12" s="6"/>
      <c r="F12" s="20" t="s">
        <v>97</v>
      </c>
      <c r="G12" s="78">
        <v>9</v>
      </c>
      <c r="H12" s="16"/>
    </row>
    <row r="13" spans="2:22" x14ac:dyDescent="0.25">
      <c r="B13" s="14"/>
      <c r="C13" s="20" t="s">
        <v>26</v>
      </c>
      <c r="D13" s="78">
        <v>14</v>
      </c>
      <c r="E13" s="6"/>
      <c r="F13" s="52" t="s">
        <v>103</v>
      </c>
      <c r="G13" s="51"/>
      <c r="H13" s="16"/>
    </row>
    <row r="14" spans="2:22" x14ac:dyDescent="0.25">
      <c r="B14" s="14"/>
      <c r="E14" s="6"/>
      <c r="F14" s="53" t="s">
        <v>104</v>
      </c>
      <c r="G14" s="54"/>
      <c r="H14" s="16"/>
    </row>
    <row r="15" spans="2:22" x14ac:dyDescent="0.25">
      <c r="B15" s="14"/>
      <c r="E15" s="6"/>
      <c r="H15" s="16"/>
    </row>
    <row r="16" spans="2:22" x14ac:dyDescent="0.25">
      <c r="B16" s="14"/>
      <c r="C16" s="23" t="s">
        <v>24</v>
      </c>
      <c r="D16" s="23" t="s">
        <v>23</v>
      </c>
      <c r="E16" s="6"/>
      <c r="F16" s="24" t="s">
        <v>107</v>
      </c>
      <c r="G16" s="24" t="s">
        <v>19</v>
      </c>
      <c r="H16" s="16"/>
    </row>
    <row r="17" spans="2:8" x14ac:dyDescent="0.25">
      <c r="B17" s="14"/>
      <c r="C17" s="20" t="s">
        <v>175</v>
      </c>
      <c r="D17" s="78">
        <v>1</v>
      </c>
      <c r="E17" s="6"/>
      <c r="F17" s="20" t="s">
        <v>110</v>
      </c>
      <c r="G17" s="78">
        <v>8</v>
      </c>
      <c r="H17" s="16"/>
    </row>
    <row r="18" spans="2:8" x14ac:dyDescent="0.25">
      <c r="B18" s="14"/>
      <c r="C18" s="20" t="s">
        <v>176</v>
      </c>
      <c r="D18" s="78">
        <v>0</v>
      </c>
      <c r="E18" s="6"/>
      <c r="F18" s="49" t="s">
        <v>80</v>
      </c>
      <c r="G18" s="78">
        <v>0</v>
      </c>
      <c r="H18" s="16"/>
    </row>
    <row r="19" spans="2:8" x14ac:dyDescent="0.25">
      <c r="B19" s="14"/>
      <c r="C19" s="59"/>
      <c r="E19" s="6"/>
      <c r="F19" s="20" t="s">
        <v>100</v>
      </c>
      <c r="G19" s="78">
        <v>0</v>
      </c>
      <c r="H19" s="16"/>
    </row>
    <row r="20" spans="2:8" x14ac:dyDescent="0.25">
      <c r="B20" s="14"/>
      <c r="C20" s="59"/>
      <c r="E20" s="6"/>
      <c r="F20" s="20" t="s">
        <v>25</v>
      </c>
      <c r="G20" s="78">
        <v>2</v>
      </c>
      <c r="H20" s="16"/>
    </row>
    <row r="21" spans="2:8" x14ac:dyDescent="0.25">
      <c r="B21" s="14"/>
      <c r="C21" s="82" t="s">
        <v>99</v>
      </c>
      <c r="D21" s="83"/>
      <c r="E21" s="84"/>
      <c r="F21" s="86"/>
      <c r="G21" s="86"/>
      <c r="H21" s="85"/>
    </row>
    <row r="22" spans="2:8" x14ac:dyDescent="0.25">
      <c r="B22" s="14"/>
      <c r="C22" s="108" t="s">
        <v>190</v>
      </c>
      <c r="D22" s="109"/>
      <c r="E22" s="109"/>
      <c r="F22" s="109"/>
      <c r="G22" s="110"/>
      <c r="H22" s="16"/>
    </row>
    <row r="23" spans="2:8" x14ac:dyDescent="0.25">
      <c r="B23" s="14"/>
      <c r="C23" s="111"/>
      <c r="D23" s="112"/>
      <c r="E23" s="112"/>
      <c r="F23" s="112"/>
      <c r="G23" s="113"/>
      <c r="H23" s="16"/>
    </row>
    <row r="24" spans="2:8" x14ac:dyDescent="0.25">
      <c r="B24" s="14"/>
      <c r="C24" s="111"/>
      <c r="D24" s="112"/>
      <c r="E24" s="112"/>
      <c r="F24" s="112"/>
      <c r="G24" s="113"/>
      <c r="H24" s="16"/>
    </row>
    <row r="25" spans="2:8" x14ac:dyDescent="0.25">
      <c r="B25" s="14"/>
      <c r="C25" s="114"/>
      <c r="D25" s="115"/>
      <c r="E25" s="115"/>
      <c r="F25" s="115"/>
      <c r="G25" s="116"/>
      <c r="H25" s="16"/>
    </row>
    <row r="26" spans="2:8" ht="15.75" thickBot="1" x14ac:dyDescent="0.3">
      <c r="B26" s="17"/>
      <c r="C26" s="18"/>
      <c r="D26" s="18"/>
      <c r="E26" s="18"/>
      <c r="F26" s="18"/>
      <c r="G26" s="18"/>
      <c r="H26" s="19"/>
    </row>
  </sheetData>
  <sheetProtection algorithmName="SHA-512" hashValue="9NwfrAZwwCCqcnmjgItUn7cSCgEOM1RfPFDCS/YBNTlj50wGzL24n1SYV7L5mQM/ZmVrcd+lsAQ/bVkRaodCXg==" saltValue="DgJkwMDcocd3A27+7ly9a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44580</formula1>
      <formula2>44642</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zoomScale="69" zoomScaleNormal="69" workbookViewId="0">
      <selection activeCell="F28" sqref="F28:H33"/>
    </sheetView>
  </sheetViews>
  <sheetFormatPr baseColWidth="10" defaultRowHeight="15" x14ac:dyDescent="0.25"/>
  <cols>
    <col min="1" max="1" width="3.85546875" style="1" customWidth="1"/>
    <col min="2" max="2" width="11.42578125" style="1"/>
    <col min="3" max="3" width="67.42578125" style="1" customWidth="1"/>
    <col min="4" max="4" width="15.28515625" style="1" customWidth="1"/>
    <col min="5" max="5" width="6.28515625" style="1" customWidth="1"/>
    <col min="6" max="6" width="63.57031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2</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22" t="s">
        <v>68</v>
      </c>
      <c r="D6" s="122"/>
      <c r="E6" s="122"/>
      <c r="F6" s="122"/>
      <c r="G6" s="122"/>
      <c r="H6" s="122"/>
      <c r="I6" s="33"/>
    </row>
    <row r="7" spans="2:23" x14ac:dyDescent="0.25">
      <c r="B7" s="14"/>
      <c r="C7" s="15"/>
      <c r="D7" s="27"/>
      <c r="E7" s="81" t="s">
        <v>148</v>
      </c>
      <c r="F7" s="27"/>
      <c r="G7" s="15"/>
      <c r="H7" s="15"/>
      <c r="I7" s="16"/>
      <c r="U7" s="1" t="s">
        <v>13</v>
      </c>
    </row>
    <row r="8" spans="2:23" x14ac:dyDescent="0.25">
      <c r="B8" s="14"/>
      <c r="C8" s="23" t="s">
        <v>111</v>
      </c>
      <c r="D8" s="79">
        <v>44638</v>
      </c>
      <c r="E8" s="6"/>
      <c r="F8" s="37" t="s">
        <v>106</v>
      </c>
      <c r="G8" s="37" t="s">
        <v>18</v>
      </c>
      <c r="H8" s="15"/>
      <c r="I8" s="16"/>
      <c r="U8" s="1" t="s">
        <v>14</v>
      </c>
    </row>
    <row r="9" spans="2:23" x14ac:dyDescent="0.25">
      <c r="B9" s="14"/>
      <c r="E9" s="6"/>
      <c r="F9" s="20" t="s">
        <v>27</v>
      </c>
      <c r="G9" s="78">
        <v>0</v>
      </c>
      <c r="H9" s="15"/>
      <c r="I9" s="16"/>
    </row>
    <row r="10" spans="2:23" x14ac:dyDescent="0.25">
      <c r="B10" s="14"/>
      <c r="C10" s="23" t="s">
        <v>151</v>
      </c>
      <c r="D10" s="23" t="s">
        <v>23</v>
      </c>
      <c r="E10" s="6"/>
      <c r="F10" s="20" t="s">
        <v>60</v>
      </c>
      <c r="G10" s="78">
        <v>0</v>
      </c>
      <c r="H10" s="15"/>
      <c r="I10" s="16"/>
    </row>
    <row r="11" spans="2:23" x14ac:dyDescent="0.25">
      <c r="B11" s="14"/>
      <c r="C11" s="20" t="s">
        <v>28</v>
      </c>
      <c r="D11" s="78">
        <v>61</v>
      </c>
      <c r="E11" s="6"/>
      <c r="F11" s="20" t="s">
        <v>83</v>
      </c>
      <c r="G11" s="78">
        <v>0</v>
      </c>
      <c r="H11" s="15"/>
      <c r="I11" s="16"/>
    </row>
    <row r="12" spans="2:23" x14ac:dyDescent="0.25">
      <c r="B12" s="14"/>
      <c r="C12" s="20" t="s">
        <v>29</v>
      </c>
      <c r="D12" s="78">
        <v>61</v>
      </c>
      <c r="E12" s="6"/>
      <c r="F12" s="38" t="s">
        <v>158</v>
      </c>
      <c r="I12" s="16"/>
    </row>
    <row r="13" spans="2:23" x14ac:dyDescent="0.25">
      <c r="B13" s="14"/>
      <c r="C13" s="20" t="s">
        <v>81</v>
      </c>
      <c r="D13" s="78">
        <v>0</v>
      </c>
      <c r="E13" s="6"/>
      <c r="F13" s="38" t="s">
        <v>84</v>
      </c>
      <c r="I13" s="16"/>
    </row>
    <row r="14" spans="2:23" x14ac:dyDescent="0.25">
      <c r="B14" s="14"/>
      <c r="C14" s="38" t="s">
        <v>152</v>
      </c>
      <c r="E14" s="6"/>
      <c r="F14" s="24" t="s">
        <v>33</v>
      </c>
      <c r="G14" s="24" t="s">
        <v>23</v>
      </c>
      <c r="I14" s="16"/>
    </row>
    <row r="15" spans="2:23" x14ac:dyDescent="0.25">
      <c r="B15" s="14"/>
      <c r="C15" s="23" t="s">
        <v>153</v>
      </c>
      <c r="D15" s="23" t="s">
        <v>23</v>
      </c>
      <c r="E15" s="6"/>
      <c r="F15" s="20" t="s">
        <v>159</v>
      </c>
      <c r="G15" s="78">
        <v>61</v>
      </c>
      <c r="I15" s="16"/>
    </row>
    <row r="16" spans="2:23" x14ac:dyDescent="0.25">
      <c r="B16" s="14"/>
      <c r="C16" s="20" t="s">
        <v>154</v>
      </c>
      <c r="D16" s="78">
        <v>2</v>
      </c>
      <c r="E16" s="6"/>
      <c r="F16" s="20" t="s">
        <v>160</v>
      </c>
      <c r="G16" s="78">
        <v>19</v>
      </c>
      <c r="H16" s="15"/>
      <c r="I16" s="16"/>
    </row>
    <row r="17" spans="2:9" x14ac:dyDescent="0.25">
      <c r="B17" s="14"/>
      <c r="C17" s="20" t="s">
        <v>155</v>
      </c>
      <c r="D17" s="78">
        <v>2</v>
      </c>
      <c r="E17" s="6"/>
      <c r="F17" s="20" t="s">
        <v>161</v>
      </c>
      <c r="G17" s="78">
        <v>41</v>
      </c>
      <c r="H17" s="15"/>
      <c r="I17" s="16"/>
    </row>
    <row r="18" spans="2:9" x14ac:dyDescent="0.25">
      <c r="B18" s="14"/>
      <c r="C18" s="38" t="s">
        <v>113</v>
      </c>
      <c r="E18" s="6"/>
      <c r="F18" s="20" t="s">
        <v>35</v>
      </c>
      <c r="G18" s="78">
        <v>1</v>
      </c>
      <c r="H18" s="15"/>
      <c r="I18" s="16"/>
    </row>
    <row r="19" spans="2:9" x14ac:dyDescent="0.25">
      <c r="B19" s="14"/>
      <c r="E19" s="6"/>
      <c r="H19" s="15"/>
      <c r="I19" s="16"/>
    </row>
    <row r="20" spans="2:9" ht="29.25" customHeight="1" x14ac:dyDescent="0.25">
      <c r="B20" s="14"/>
      <c r="C20" s="50" t="s">
        <v>32</v>
      </c>
      <c r="D20" s="50" t="s">
        <v>23</v>
      </c>
      <c r="E20" s="6"/>
      <c r="F20" s="39" t="s">
        <v>105</v>
      </c>
      <c r="G20" s="39" t="s">
        <v>163</v>
      </c>
      <c r="H20" s="40" t="s">
        <v>67</v>
      </c>
      <c r="I20" s="16"/>
    </row>
    <row r="21" spans="2:9" x14ac:dyDescent="0.25">
      <c r="B21" s="14"/>
      <c r="C21" s="60" t="s">
        <v>156</v>
      </c>
      <c r="D21" s="78">
        <v>26</v>
      </c>
      <c r="E21" s="6"/>
      <c r="F21" s="20" t="s">
        <v>63</v>
      </c>
      <c r="G21" s="78">
        <v>40</v>
      </c>
      <c r="H21" s="78">
        <v>40</v>
      </c>
      <c r="I21" s="16"/>
    </row>
    <row r="22" spans="2:9" ht="15" customHeight="1" x14ac:dyDescent="0.25">
      <c r="B22" s="14"/>
      <c r="C22" s="60" t="s">
        <v>82</v>
      </c>
      <c r="D22" s="78">
        <v>3</v>
      </c>
      <c r="E22" s="6"/>
      <c r="F22" s="20" t="s">
        <v>64</v>
      </c>
      <c r="G22" s="78">
        <v>15</v>
      </c>
      <c r="H22" s="78">
        <v>2</v>
      </c>
      <c r="I22" s="16"/>
    </row>
    <row r="23" spans="2:9" ht="24.75" x14ac:dyDescent="0.25">
      <c r="B23" s="14"/>
      <c r="C23" s="66" t="s">
        <v>157</v>
      </c>
      <c r="D23" s="66"/>
      <c r="E23" s="6"/>
      <c r="F23" s="20" t="s">
        <v>65</v>
      </c>
      <c r="G23" s="78">
        <v>3</v>
      </c>
      <c r="H23" s="78">
        <v>2</v>
      </c>
      <c r="I23" s="16"/>
    </row>
    <row r="24" spans="2:9" x14ac:dyDescent="0.25">
      <c r="B24" s="14"/>
      <c r="C24" s="15"/>
      <c r="E24" s="6"/>
      <c r="F24" s="20" t="s">
        <v>66</v>
      </c>
      <c r="G24" s="78">
        <v>2</v>
      </c>
      <c r="H24" s="78">
        <v>0</v>
      </c>
      <c r="I24" s="16"/>
    </row>
    <row r="25" spans="2:9" ht="30" customHeight="1" x14ac:dyDescent="0.25">
      <c r="B25" s="14"/>
      <c r="C25" s="68" t="str">
        <f>"Seleccione "&amp;W3&amp;" procesos teminados en el  segundo semestre de 2021 y llene la siguiente tabla:"</f>
        <v>Seleccione 2 procesos teminados en el  segundo semestre de 2021 y llene la siguiente tabla:</v>
      </c>
      <c r="D25" s="63"/>
      <c r="E25" s="6"/>
      <c r="F25" s="123" t="s">
        <v>162</v>
      </c>
      <c r="G25" s="123"/>
      <c r="H25" s="123"/>
      <c r="I25" s="16"/>
    </row>
    <row r="26" spans="2:9" ht="15.75" thickBot="1" x14ac:dyDescent="0.3">
      <c r="B26" s="14"/>
      <c r="C26" s="64"/>
      <c r="D26" s="65"/>
      <c r="E26" s="6"/>
      <c r="F26" s="61"/>
      <c r="G26" s="15"/>
      <c r="H26" s="15"/>
      <c r="I26" s="16"/>
    </row>
    <row r="27" spans="2:9" x14ac:dyDescent="0.25">
      <c r="B27" s="14"/>
      <c r="C27" s="50" t="s">
        <v>93</v>
      </c>
      <c r="D27" s="50" t="s">
        <v>23</v>
      </c>
      <c r="E27" s="6"/>
      <c r="F27" s="117" t="s">
        <v>92</v>
      </c>
      <c r="G27" s="118"/>
      <c r="H27" s="119"/>
      <c r="I27" s="16"/>
    </row>
    <row r="28" spans="2:9" x14ac:dyDescent="0.25">
      <c r="B28" s="14"/>
      <c r="C28" s="20" t="s">
        <v>85</v>
      </c>
      <c r="D28" s="78">
        <v>2</v>
      </c>
      <c r="E28" s="6"/>
      <c r="F28" s="120" t="s">
        <v>192</v>
      </c>
      <c r="G28" s="121"/>
      <c r="H28" s="121"/>
      <c r="I28" s="16"/>
    </row>
    <row r="29" spans="2:9" x14ac:dyDescent="0.25">
      <c r="B29" s="14"/>
      <c r="C29" s="20" t="s">
        <v>86</v>
      </c>
      <c r="D29" s="78">
        <v>2</v>
      </c>
      <c r="E29" s="6"/>
      <c r="F29" s="121"/>
      <c r="G29" s="121"/>
      <c r="H29" s="121"/>
      <c r="I29" s="16"/>
    </row>
    <row r="30" spans="2:9" x14ac:dyDescent="0.25">
      <c r="B30" s="14"/>
      <c r="C30" s="20" t="s">
        <v>87</v>
      </c>
      <c r="D30" s="78">
        <v>0</v>
      </c>
      <c r="E30" s="6"/>
      <c r="F30" s="121"/>
      <c r="G30" s="121"/>
      <c r="H30" s="121"/>
      <c r="I30" s="16"/>
    </row>
    <row r="31" spans="2:9" x14ac:dyDescent="0.25">
      <c r="B31" s="14"/>
      <c r="C31" s="20" t="s">
        <v>88</v>
      </c>
      <c r="D31" s="78">
        <v>1</v>
      </c>
      <c r="E31" s="6"/>
      <c r="F31" s="121"/>
      <c r="G31" s="121"/>
      <c r="H31" s="121"/>
      <c r="I31" s="16"/>
    </row>
    <row r="32" spans="2:9" x14ac:dyDescent="0.25">
      <c r="B32" s="14"/>
      <c r="C32" s="20" t="s">
        <v>89</v>
      </c>
      <c r="D32" s="78">
        <v>0</v>
      </c>
      <c r="E32" s="6"/>
      <c r="F32" s="121"/>
      <c r="G32" s="121"/>
      <c r="H32" s="121"/>
      <c r="I32" s="16"/>
    </row>
    <row r="33" spans="2:9" x14ac:dyDescent="0.25">
      <c r="B33" s="14"/>
      <c r="C33" s="15"/>
      <c r="E33" s="6"/>
      <c r="F33" s="121"/>
      <c r="G33" s="121"/>
      <c r="H33" s="121"/>
      <c r="I33" s="16"/>
    </row>
    <row r="34" spans="2:9" ht="15.75" thickBot="1" x14ac:dyDescent="0.3">
      <c r="B34" s="17"/>
      <c r="C34" s="18"/>
      <c r="D34" s="18"/>
      <c r="E34" s="18"/>
      <c r="F34" s="18"/>
      <c r="G34" s="18"/>
      <c r="H34" s="18"/>
      <c r="I34" s="19"/>
    </row>
  </sheetData>
  <sheetProtection algorithmName="SHA-512" hashValue="XBF41nNb+oM9W4bsjhJQYEs62RY6vNKkdxY+QBvLebA6UVCX8pT0VcHFlVGR/BBGTTD/NcRUs/vA7RtnYQti/A==" saltValue="pMXht+w1d5Ih1rsoRXgsFQ=="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44580</formula1>
      <formula2>44642</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G14" sqref="G14"/>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0</v>
      </c>
    </row>
    <row r="3" spans="2:22" x14ac:dyDescent="0.25">
      <c r="B3" s="14"/>
      <c r="C3" s="15"/>
      <c r="D3" s="15"/>
      <c r="E3" s="15"/>
      <c r="F3" s="15"/>
      <c r="G3" s="15"/>
      <c r="H3" s="16"/>
      <c r="V3" s="28">
        <f>+IF(V2&lt;=20,V2,IF(ROUNDDOWN(V2*10%,0)&lt;20,20,ROUNDDOWN(V2*10%,0)))</f>
        <v>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22" t="s">
        <v>177</v>
      </c>
      <c r="D7" s="122"/>
      <c r="E7" s="122"/>
      <c r="F7" s="122"/>
      <c r="G7" s="122"/>
      <c r="H7" s="33"/>
    </row>
    <row r="8" spans="2:22" x14ac:dyDescent="0.25">
      <c r="B8" s="14"/>
      <c r="C8" s="15"/>
      <c r="D8" s="15"/>
      <c r="E8" s="89" t="s">
        <v>148</v>
      </c>
      <c r="H8" s="16"/>
      <c r="T8" s="1" t="s">
        <v>13</v>
      </c>
    </row>
    <row r="9" spans="2:22" ht="15" customHeight="1" x14ac:dyDescent="0.25">
      <c r="B9" s="14"/>
      <c r="C9" s="23" t="s">
        <v>178</v>
      </c>
      <c r="D9" s="23" t="s">
        <v>23</v>
      </c>
      <c r="E9" s="6"/>
      <c r="F9" s="104" t="str">
        <f>"Seleccione una muestra de "&amp;V3&amp;" prejudiciales activos registrados antes de 1 de julio de 2021 y complete la siguiente tabla"</f>
        <v>Seleccione una muestra de 0 prejudiciales activos registrados antes de 1 de julio de 2021 y complete la siguiente tabla</v>
      </c>
      <c r="G9" s="105"/>
      <c r="H9" s="16"/>
      <c r="T9" s="1" t="s">
        <v>14</v>
      </c>
    </row>
    <row r="10" spans="2:22" x14ac:dyDescent="0.25">
      <c r="B10" s="14"/>
      <c r="C10" s="20" t="s">
        <v>54</v>
      </c>
      <c r="D10" s="78">
        <v>4</v>
      </c>
      <c r="E10" s="6"/>
      <c r="F10" s="106"/>
      <c r="G10" s="107"/>
      <c r="H10" s="16"/>
    </row>
    <row r="11" spans="2:22" x14ac:dyDescent="0.25">
      <c r="B11" s="14"/>
      <c r="C11" s="20" t="s">
        <v>55</v>
      </c>
      <c r="D11" s="78">
        <v>4</v>
      </c>
      <c r="E11" s="6"/>
      <c r="F11" s="24" t="s">
        <v>32</v>
      </c>
      <c r="G11" s="24" t="s">
        <v>57</v>
      </c>
      <c r="H11" s="16"/>
    </row>
    <row r="12" spans="2:22" x14ac:dyDescent="0.25">
      <c r="B12" s="14"/>
      <c r="C12" s="20" t="s">
        <v>164</v>
      </c>
      <c r="D12" s="78">
        <v>4</v>
      </c>
      <c r="E12" s="6"/>
      <c r="F12" s="36" t="s">
        <v>58</v>
      </c>
      <c r="G12" s="78">
        <v>0</v>
      </c>
      <c r="H12" s="16"/>
    </row>
    <row r="13" spans="2:22" x14ac:dyDescent="0.25">
      <c r="B13" s="14"/>
      <c r="C13" s="20" t="s">
        <v>181</v>
      </c>
      <c r="D13" s="78">
        <v>0</v>
      </c>
      <c r="E13" s="6"/>
      <c r="F13" s="20" t="s">
        <v>180</v>
      </c>
      <c r="G13" s="78">
        <v>0</v>
      </c>
      <c r="H13" s="16"/>
    </row>
    <row r="14" spans="2:22" x14ac:dyDescent="0.25">
      <c r="B14" s="14"/>
      <c r="C14" s="20" t="s">
        <v>165</v>
      </c>
      <c r="D14" s="78">
        <v>0</v>
      </c>
      <c r="E14" s="6"/>
      <c r="F14"/>
      <c r="G14"/>
      <c r="H14" s="16"/>
    </row>
    <row r="15" spans="2:22" x14ac:dyDescent="0.25">
      <c r="B15" s="14"/>
      <c r="E15" s="6"/>
      <c r="F15"/>
      <c r="G15"/>
      <c r="H15" s="16"/>
    </row>
    <row r="16" spans="2:22" x14ac:dyDescent="0.25">
      <c r="B16" s="14"/>
      <c r="C16" s="23" t="s">
        <v>179</v>
      </c>
      <c r="D16" s="23" t="s">
        <v>23</v>
      </c>
      <c r="E16" s="6"/>
      <c r="F16" s="124" t="s">
        <v>92</v>
      </c>
      <c r="G16" s="124"/>
      <c r="H16" s="16"/>
    </row>
    <row r="17" spans="2:8" x14ac:dyDescent="0.25">
      <c r="B17" s="14"/>
      <c r="C17" s="20" t="s">
        <v>166</v>
      </c>
      <c r="D17" s="78">
        <v>0</v>
      </c>
      <c r="E17" s="6"/>
      <c r="F17" s="121" t="s">
        <v>189</v>
      </c>
      <c r="G17" s="121"/>
      <c r="H17" s="16"/>
    </row>
    <row r="18" spans="2:8" x14ac:dyDescent="0.25">
      <c r="B18" s="14"/>
      <c r="C18" s="20" t="s">
        <v>167</v>
      </c>
      <c r="D18" s="78">
        <v>0</v>
      </c>
      <c r="E18" s="6"/>
      <c r="F18" s="121"/>
      <c r="G18" s="121"/>
      <c r="H18" s="16"/>
    </row>
    <row r="19" spans="2:8" x14ac:dyDescent="0.25">
      <c r="B19" s="14"/>
      <c r="C19"/>
      <c r="D19"/>
      <c r="E19" s="6"/>
      <c r="F19" s="121"/>
      <c r="G19" s="121"/>
      <c r="H19" s="16"/>
    </row>
    <row r="20" spans="2:8" x14ac:dyDescent="0.25">
      <c r="B20" s="14"/>
      <c r="C20"/>
      <c r="D20"/>
      <c r="E20" s="6"/>
      <c r="F20" s="121"/>
      <c r="G20" s="121"/>
      <c r="H20" s="16"/>
    </row>
    <row r="21" spans="2:8" x14ac:dyDescent="0.25">
      <c r="B21" s="14"/>
      <c r="E21" s="6"/>
      <c r="F21" s="121"/>
      <c r="G21" s="121"/>
      <c r="H21" s="16"/>
    </row>
    <row r="22" spans="2:8" x14ac:dyDescent="0.25">
      <c r="B22" s="14"/>
      <c r="C22" s="15"/>
      <c r="D22" s="15"/>
      <c r="E22" s="6"/>
      <c r="F22" s="121"/>
      <c r="G22" s="121"/>
      <c r="H22" s="16"/>
    </row>
    <row r="23" spans="2:8" ht="15.75" thickBot="1" x14ac:dyDescent="0.3">
      <c r="B23" s="17"/>
      <c r="C23" s="18"/>
      <c r="D23" s="18"/>
      <c r="E23" s="18"/>
      <c r="F23" s="18"/>
      <c r="G23" s="18"/>
      <c r="H23" s="19"/>
    </row>
  </sheetData>
  <sheetProtection algorithmName="SHA-512" hashValue="RTxvkA/X6xl2+KfdbiHdJ6sbvecern8CNICPPfFAOQJxypM+eH9yXKnnLB3GHhoPJhALHrzKXVh8l3sCPJ2Idw==" saltValue="3APmjS7xF8RN9CH5Y9wtN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G11" sqref="G11"/>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1</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70</v>
      </c>
      <c r="D6" s="35"/>
      <c r="E6" s="26"/>
      <c r="F6"/>
      <c r="G6"/>
      <c r="H6" s="33"/>
    </row>
    <row r="7" spans="2:22" x14ac:dyDescent="0.25">
      <c r="B7" s="14"/>
      <c r="C7" s="15" t="s">
        <v>148</v>
      </c>
      <c r="D7" s="15"/>
      <c r="E7" s="15"/>
      <c r="F7"/>
      <c r="G7"/>
      <c r="H7" s="16"/>
      <c r="T7" s="1" t="s">
        <v>13</v>
      </c>
    </row>
    <row r="8" spans="2:22" x14ac:dyDescent="0.25">
      <c r="B8" s="14"/>
      <c r="C8" s="23" t="s">
        <v>70</v>
      </c>
      <c r="D8" s="23" t="s">
        <v>23</v>
      </c>
      <c r="E8" s="6"/>
      <c r="F8" s="23" t="s">
        <v>70</v>
      </c>
      <c r="G8" s="23" t="s">
        <v>23</v>
      </c>
      <c r="H8" s="16"/>
      <c r="T8" s="1" t="s">
        <v>14</v>
      </c>
    </row>
    <row r="9" spans="2:22" x14ac:dyDescent="0.25">
      <c r="B9" s="14"/>
      <c r="C9" s="20" t="s">
        <v>168</v>
      </c>
      <c r="D9" s="78">
        <v>1</v>
      </c>
      <c r="E9" s="6"/>
      <c r="F9" s="20" t="s">
        <v>169</v>
      </c>
      <c r="G9" s="78">
        <v>0</v>
      </c>
      <c r="H9" s="16"/>
    </row>
    <row r="10" spans="2:22" x14ac:dyDescent="0.25">
      <c r="B10" s="14"/>
      <c r="C10" s="20" t="s">
        <v>72</v>
      </c>
      <c r="D10" s="78">
        <v>1</v>
      </c>
      <c r="E10" s="6"/>
      <c r="F10" s="20" t="s">
        <v>90</v>
      </c>
      <c r="G10" s="78">
        <v>0</v>
      </c>
      <c r="H10" s="16"/>
    </row>
    <row r="11" spans="2:22" x14ac:dyDescent="0.25">
      <c r="B11" s="14"/>
      <c r="C11" s="15"/>
      <c r="D11" s="55"/>
      <c r="E11" s="6"/>
      <c r="F11" s="15"/>
      <c r="G11" s="56"/>
      <c r="H11" s="16"/>
    </row>
    <row r="12" spans="2:22" x14ac:dyDescent="0.25">
      <c r="B12" s="14"/>
      <c r="C12" s="57" t="s">
        <v>94</v>
      </c>
      <c r="D12" s="55"/>
      <c r="E12" s="6"/>
      <c r="F12" s="15"/>
      <c r="G12" s="56"/>
      <c r="H12" s="16"/>
      <c r="T12" s="1">
        <f>IF(D9="",0,1)</f>
        <v>1</v>
      </c>
    </row>
    <row r="13" spans="2:22" x14ac:dyDescent="0.25">
      <c r="B13" s="14"/>
      <c r="C13" s="125" t="s">
        <v>188</v>
      </c>
      <c r="D13" s="109"/>
      <c r="E13" s="109"/>
      <c r="F13" s="109"/>
      <c r="G13" s="110"/>
      <c r="H13" s="16"/>
    </row>
    <row r="14" spans="2:22" x14ac:dyDescent="0.25">
      <c r="B14" s="14"/>
      <c r="C14" s="111"/>
      <c r="D14" s="112"/>
      <c r="E14" s="112"/>
      <c r="F14" s="112"/>
      <c r="G14" s="113"/>
      <c r="H14" s="16"/>
    </row>
    <row r="15" spans="2:22" x14ac:dyDescent="0.25">
      <c r="B15" s="14"/>
      <c r="C15" s="111"/>
      <c r="D15" s="112"/>
      <c r="E15" s="112"/>
      <c r="F15" s="112"/>
      <c r="G15" s="113"/>
      <c r="H15" s="16"/>
    </row>
    <row r="16" spans="2:22" x14ac:dyDescent="0.25">
      <c r="B16" s="14"/>
      <c r="C16" s="114"/>
      <c r="D16" s="115"/>
      <c r="E16" s="115"/>
      <c r="F16" s="115"/>
      <c r="G16" s="116"/>
      <c r="H16" s="16"/>
      <c r="T16" s="1">
        <f>IF(G9="",0,1)</f>
        <v>1</v>
      </c>
    </row>
    <row r="17" spans="2:20" ht="15.75" thickBot="1" x14ac:dyDescent="0.3">
      <c r="B17" s="17"/>
      <c r="C17" s="18"/>
      <c r="D17" s="18"/>
      <c r="E17" s="18"/>
      <c r="F17" s="18"/>
      <c r="G17" s="18"/>
      <c r="H17" s="19"/>
      <c r="T17" s="1">
        <f>+T12+T16</f>
        <v>2</v>
      </c>
    </row>
  </sheetData>
  <sheetProtection algorithmName="SHA-512" hashValue="6ZcsWdIGr0G8GN+aSGf97CECkSNgVAzqC6t9ixF98PlLneYYyrSdMnHt56kYG6UzNYLxxm5cHQZZfeu+4m80kQ==" saltValue="3tqLDwW1B4WLnP5vNc8k0w=="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22" t="s">
        <v>8</v>
      </c>
      <c r="D6" s="122"/>
      <c r="E6" s="26"/>
      <c r="F6"/>
      <c r="G6"/>
      <c r="H6" s="33"/>
      <c r="T6" s="1" t="s">
        <v>12</v>
      </c>
    </row>
    <row r="7" spans="2:22" x14ac:dyDescent="0.25">
      <c r="B7" s="14"/>
      <c r="C7" s="15" t="s">
        <v>148</v>
      </c>
      <c r="D7" s="15"/>
      <c r="E7" s="15"/>
      <c r="F7" s="58" t="s">
        <v>94</v>
      </c>
      <c r="G7"/>
      <c r="H7" s="16"/>
      <c r="T7" s="1" t="s">
        <v>13</v>
      </c>
    </row>
    <row r="8" spans="2:22" x14ac:dyDescent="0.25">
      <c r="B8" s="14"/>
      <c r="C8" s="23" t="s">
        <v>31</v>
      </c>
      <c r="D8" s="23" t="s">
        <v>23</v>
      </c>
      <c r="E8" s="6"/>
      <c r="F8" s="125" t="s">
        <v>187</v>
      </c>
      <c r="G8" s="110"/>
      <c r="H8" s="16"/>
      <c r="T8" s="1" t="s">
        <v>14</v>
      </c>
    </row>
    <row r="9" spans="2:22" x14ac:dyDescent="0.25">
      <c r="B9" s="14"/>
      <c r="C9" s="20" t="s">
        <v>74</v>
      </c>
      <c r="D9" s="78" t="s">
        <v>13</v>
      </c>
      <c r="E9" s="6"/>
      <c r="F9" s="111"/>
      <c r="G9" s="113"/>
      <c r="H9" s="16"/>
    </row>
    <row r="10" spans="2:22" x14ac:dyDescent="0.25">
      <c r="B10" s="14"/>
      <c r="C10" s="20" t="s">
        <v>173</v>
      </c>
      <c r="D10" s="78">
        <v>0</v>
      </c>
      <c r="E10" s="6"/>
      <c r="F10" s="114"/>
      <c r="G10" s="116"/>
      <c r="H10" s="16"/>
    </row>
    <row r="11" spans="2:22" ht="15.75" thickBot="1" x14ac:dyDescent="0.3">
      <c r="B11" s="17"/>
      <c r="C11" s="18"/>
      <c r="D11" s="18"/>
      <c r="E11" s="18"/>
      <c r="F11" s="18"/>
      <c r="G11" s="18"/>
      <c r="H11" s="19"/>
    </row>
  </sheetData>
  <sheetProtection algorithmName="SHA-512" hashValue="f23xZ8ZGez4/ugrRSeNHNSFC5P6zK3PlnV1v5jm/nMY208v20MkKx1TkUjozEjkoZyWA5UKJDdR01qKLB0dGmA==" saltValue="OkVslLPAPPXMYR5Z1l05zA==" spinCount="100000" sheet="1"/>
  <mergeCells count="2">
    <mergeCell ref="C6:D6"/>
    <mergeCell ref="F8:G10"/>
  </mergeCells>
  <conditionalFormatting sqref="D10">
    <cfRule type="containsBlanks" dxfId="5" priority="3">
      <formula>LEN(TRIM(D10))=0</formula>
    </cfRule>
  </conditionalFormatting>
  <conditionalFormatting sqref="D9">
    <cfRule type="containsBlanks" dxfId="4" priority="2">
      <formula>LEN(TRIM(D9))=0</formula>
    </cfRule>
  </conditionalFormatting>
  <conditionalFormatting sqref="F8">
    <cfRule type="containsBlanks" dxfId="3" priority="1">
      <formula>LEN(TRIM(F8))=0</formula>
    </cfRule>
  </conditionalFormatting>
  <dataValidations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whole" operator="greaterThanOrEqual" showInputMessage="1" showErrorMessage="1" errorTitle="Numero Invalido" promptTitle="Ingrese la cantidad Solicitada" prompt="Ingrese la cantidad Solicitada" sqref="D10" xr:uid="{00000000-0002-0000-0600-000001000000}">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6"/>
  <sheetViews>
    <sheetView showGridLines="0" workbookViewId="0"/>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27" t="s">
        <v>10</v>
      </c>
      <c r="C2" s="127"/>
      <c r="D2" s="127"/>
      <c r="E2" s="127"/>
      <c r="F2" s="127"/>
      <c r="G2" s="127"/>
      <c r="H2" s="46"/>
      <c r="I2" s="46"/>
      <c r="J2" s="46"/>
      <c r="K2" s="46"/>
      <c r="L2" s="46"/>
      <c r="M2" s="47"/>
    </row>
    <row r="3" spans="2:13" ht="18.75" x14ac:dyDescent="0.3">
      <c r="B3" s="127" t="s">
        <v>11</v>
      </c>
      <c r="C3" s="127"/>
      <c r="D3" s="127"/>
      <c r="E3" s="127"/>
      <c r="F3" s="127"/>
      <c r="G3" s="127"/>
      <c r="H3" s="46"/>
      <c r="I3" s="46"/>
      <c r="J3" s="46"/>
      <c r="K3" s="46"/>
      <c r="L3" s="46"/>
      <c r="M3" s="47"/>
    </row>
    <row r="4" spans="2:13" ht="23.25" x14ac:dyDescent="0.35">
      <c r="B4" s="41"/>
      <c r="C4" s="90"/>
      <c r="D4" s="90" t="s">
        <v>172</v>
      </c>
      <c r="E4" s="41"/>
      <c r="F4" s="41"/>
      <c r="G4" s="41"/>
      <c r="H4" s="41"/>
      <c r="I4" s="41"/>
      <c r="J4" s="41"/>
      <c r="K4" s="41"/>
      <c r="L4" s="41"/>
      <c r="M4" s="41"/>
    </row>
    <row r="5" spans="2:13" ht="15.75" thickBot="1" x14ac:dyDescent="0.3">
      <c r="B5" t="s">
        <v>170</v>
      </c>
      <c r="C5" s="126" t="s">
        <v>186</v>
      </c>
      <c r="D5" s="126"/>
      <c r="E5" s="126"/>
      <c r="F5" s="126"/>
      <c r="G5" s="126"/>
      <c r="H5" s="6"/>
      <c r="I5" s="6"/>
      <c r="J5" s="6"/>
    </row>
    <row r="6" spans="2:13" ht="15.75" thickBot="1" x14ac:dyDescent="0.3">
      <c r="B6" t="s">
        <v>171</v>
      </c>
      <c r="C6" s="126" t="s">
        <v>183</v>
      </c>
      <c r="D6" s="126"/>
      <c r="E6" s="126"/>
      <c r="F6" s="126"/>
      <c r="G6" s="126"/>
      <c r="H6" s="45"/>
      <c r="I6" s="45"/>
      <c r="J6" s="45"/>
    </row>
    <row r="7" spans="2:13" x14ac:dyDescent="0.25">
      <c r="H7" s="6"/>
      <c r="I7" s="6"/>
      <c r="J7" s="6"/>
    </row>
    <row r="8" spans="2:13" x14ac:dyDescent="0.25">
      <c r="B8" t="s">
        <v>38</v>
      </c>
      <c r="C8" s="44" t="str">
        <f>+IF(SUM(USUARIOS!I12:J17)=0,"Falta diligenciar","")</f>
        <v/>
      </c>
      <c r="E8" t="s">
        <v>77</v>
      </c>
      <c r="F8" s="44" t="str">
        <f>+IF(PREJUDICIALES!$D$10="","Falta  actualizar","")</f>
        <v/>
      </c>
    </row>
    <row r="9" spans="2:13" x14ac:dyDescent="0.25">
      <c r="B9" s="43" t="s">
        <v>41</v>
      </c>
      <c r="C9" s="88">
        <f>+SUM(USUARIOS!I12:I17)/(6-SUM(USUARIOS!H12:H17))</f>
        <v>0.66666666666666663</v>
      </c>
      <c r="E9" s="43" t="s">
        <v>46</v>
      </c>
      <c r="F9" s="87">
        <f>+PREJUDICIALES!$D$11</f>
        <v>4</v>
      </c>
    </row>
    <row r="10" spans="2:13" x14ac:dyDescent="0.25">
      <c r="B10" s="43" t="s">
        <v>39</v>
      </c>
      <c r="C10" s="87">
        <f>+ABOGADOS!$D$12+SUM(USUARIOS!I12:I17)</f>
        <v>18</v>
      </c>
      <c r="E10" s="43" t="s">
        <v>44</v>
      </c>
      <c r="F10" s="88">
        <f>IFERROR(PREJUDICIALES!$D$11/PREJUDICIALES!$D$10,"")</f>
        <v>1</v>
      </c>
    </row>
    <row r="11" spans="2:13" x14ac:dyDescent="0.25">
      <c r="B11" s="43" t="s">
        <v>9</v>
      </c>
      <c r="C11" s="87" t="s">
        <v>108</v>
      </c>
      <c r="E11" s="43" t="s">
        <v>47</v>
      </c>
      <c r="F11" s="88" t="str">
        <f>IFERROR(PREJUDICIALES!$G$13/PREJUDICIALES!$V$3,"")</f>
        <v/>
      </c>
    </row>
    <row r="12" spans="2:13" x14ac:dyDescent="0.25">
      <c r="B12" s="43" t="s">
        <v>40</v>
      </c>
      <c r="C12" s="88">
        <f>IFERROR((ABOGADOS!$G$17+ABOGADOS!$G$18+ABOGADOS!$G$19*0.5)/ABOGADOS!D12,"")</f>
        <v>0.5714285714285714</v>
      </c>
    </row>
    <row r="13" spans="2:13" x14ac:dyDescent="0.25">
      <c r="E13" t="s">
        <v>70</v>
      </c>
      <c r="F13" s="44" t="str">
        <f>+IF(ARBITRAMENTOS!T17=0,"Falta  actualizar","")</f>
        <v/>
      </c>
    </row>
    <row r="14" spans="2:13" x14ac:dyDescent="0.25">
      <c r="B14" t="s">
        <v>76</v>
      </c>
      <c r="C14" s="44" t="str">
        <f>+IF(JUDICIALES!$D$11="","Falta  actualizar","")</f>
        <v/>
      </c>
      <c r="E14" s="43" t="s">
        <v>45</v>
      </c>
      <c r="F14" s="87">
        <f>+ARBITRAMENTOS!D10</f>
        <v>1</v>
      </c>
    </row>
    <row r="15" spans="2:13" x14ac:dyDescent="0.25">
      <c r="B15" s="43" t="s">
        <v>42</v>
      </c>
      <c r="C15" s="87">
        <f>+JUDICIALES!$D$12</f>
        <v>61</v>
      </c>
      <c r="E15" s="43" t="s">
        <v>44</v>
      </c>
      <c r="F15" s="88">
        <f>IFERROR(ARBITRAMENTOS!D10/ARBITRAMENTOS!D9,"")</f>
        <v>1</v>
      </c>
    </row>
    <row r="16" spans="2:13" x14ac:dyDescent="0.25">
      <c r="B16" s="43" t="s">
        <v>44</v>
      </c>
      <c r="C16" s="88">
        <f>IFERROR(JUDICIALES!$D$12/JUDICIALES!$D$11,"")</f>
        <v>1</v>
      </c>
    </row>
    <row r="17" spans="2:6" x14ac:dyDescent="0.25">
      <c r="B17" s="43" t="s">
        <v>50</v>
      </c>
      <c r="C17" s="88" t="str">
        <f>IFERROR(JUDICIALES!$G$11/JUDICIALES!$G$10,"")</f>
        <v/>
      </c>
      <c r="E17" t="s">
        <v>73</v>
      </c>
      <c r="F17" s="44" t="str">
        <f>+IF(PAGOS!D9="","Falta  actualizar","")</f>
        <v/>
      </c>
    </row>
    <row r="18" spans="2:6" x14ac:dyDescent="0.25">
      <c r="B18" s="43" t="s">
        <v>43</v>
      </c>
      <c r="C18" s="87">
        <f>IFERROR(C15/ABOGADOS!$D$12,"")</f>
        <v>4.3571428571428568</v>
      </c>
      <c r="E18" s="43" t="s">
        <v>48</v>
      </c>
      <c r="F18" s="87">
        <f>+PAGOS!D10</f>
        <v>0</v>
      </c>
    </row>
    <row r="19" spans="2:6" x14ac:dyDescent="0.25">
      <c r="B19" s="43" t="s">
        <v>75</v>
      </c>
      <c r="C19" s="88">
        <f>IFERROR(1-(JUDICIALES!$H$22+JUDICIALES!$H$23+JUDICIALES!$H$24)/(JUDICIALES!$G$22+JUDICIALES!$G$23+JUDICIALES!$G$24),"")</f>
        <v>0.8</v>
      </c>
      <c r="E19" s="43" t="s">
        <v>49</v>
      </c>
      <c r="F19" s="87" t="str">
        <f>+IF(PAGOS!D9="No","No aplica","si")</f>
        <v>No aplica</v>
      </c>
    </row>
    <row r="21" spans="2:6" ht="15.75" thickBot="1" x14ac:dyDescent="0.3"/>
    <row r="22" spans="2:6" x14ac:dyDescent="0.25">
      <c r="B22" s="2" t="s">
        <v>94</v>
      </c>
      <c r="C22" s="3"/>
      <c r="D22" s="3"/>
      <c r="E22" s="3"/>
      <c r="F22" s="4"/>
    </row>
    <row r="23" spans="2:6" x14ac:dyDescent="0.25">
      <c r="B23" s="125" t="s">
        <v>191</v>
      </c>
      <c r="C23" s="109"/>
      <c r="D23" s="109"/>
      <c r="E23" s="109"/>
      <c r="F23" s="110"/>
    </row>
    <row r="24" spans="2:6" x14ac:dyDescent="0.25">
      <c r="B24" s="111"/>
      <c r="C24" s="112"/>
      <c r="D24" s="112"/>
      <c r="E24" s="112"/>
      <c r="F24" s="113"/>
    </row>
    <row r="25" spans="2:6" x14ac:dyDescent="0.25">
      <c r="B25" s="111"/>
      <c r="C25" s="112"/>
      <c r="D25" s="112"/>
      <c r="E25" s="112"/>
      <c r="F25" s="113"/>
    </row>
    <row r="26" spans="2:6" x14ac:dyDescent="0.25">
      <c r="B26" s="114"/>
      <c r="C26" s="115"/>
      <c r="D26" s="115"/>
      <c r="E26" s="115"/>
      <c r="F26" s="116"/>
    </row>
  </sheetData>
  <sheetProtection algorithmName="SHA-512" hashValue="xLp+iVXktoCHjSyisMzeUqB3TFHZ3ECZVWfGHLrfjAZjidIlu5D3CLoewvx3qakIhGiDVMcS9XCeM/RFc9I93g==" saltValue="sgud4LPzkaR+TgKL0MQL3A=="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topLeftCell="AW1" zoomScaleNormal="100" workbookViewId="0">
      <selection activeCell="BI3" sqref="BI3"/>
    </sheetView>
  </sheetViews>
  <sheetFormatPr baseColWidth="10" defaultColWidth="10.7109375" defaultRowHeight="15" x14ac:dyDescent="0.25"/>
  <cols>
    <col min="1" max="1" width="34.5703125" style="69" customWidth="1"/>
    <col min="2" max="2" width="29.5703125" style="69" customWidth="1"/>
    <col min="3" max="16384" width="10.7109375" style="69"/>
  </cols>
  <sheetData>
    <row r="2" spans="1:67" x14ac:dyDescent="0.25">
      <c r="A2" s="72" t="s">
        <v>37</v>
      </c>
      <c r="B2" s="72" t="s">
        <v>112</v>
      </c>
      <c r="C2" s="72" t="s">
        <v>21</v>
      </c>
      <c r="D2" s="72" t="s">
        <v>22</v>
      </c>
      <c r="E2" s="72" t="s">
        <v>26</v>
      </c>
      <c r="F2" s="72" t="s">
        <v>20</v>
      </c>
      <c r="G2" s="72" t="s">
        <v>101</v>
      </c>
      <c r="H2" s="73" t="s">
        <v>102</v>
      </c>
      <c r="I2" s="74" t="s">
        <v>114</v>
      </c>
      <c r="J2" s="74" t="s">
        <v>115</v>
      </c>
      <c r="K2" s="74" t="s">
        <v>116</v>
      </c>
      <c r="L2" s="74" t="s">
        <v>117</v>
      </c>
      <c r="M2" s="74" t="s">
        <v>118</v>
      </c>
      <c r="N2" s="74" t="s">
        <v>119</v>
      </c>
      <c r="O2" s="74" t="s">
        <v>120</v>
      </c>
      <c r="P2" s="72" t="s">
        <v>28</v>
      </c>
      <c r="Q2" s="72" t="s">
        <v>29</v>
      </c>
      <c r="R2" s="72" t="s">
        <v>30</v>
      </c>
      <c r="S2" s="72" t="s">
        <v>121</v>
      </c>
      <c r="T2" s="72" t="s">
        <v>122</v>
      </c>
      <c r="U2" s="72" t="s">
        <v>36</v>
      </c>
      <c r="V2" s="72" t="s">
        <v>123</v>
      </c>
      <c r="W2" s="72" t="s">
        <v>85</v>
      </c>
      <c r="X2" s="72" t="s">
        <v>86</v>
      </c>
      <c r="Y2" s="72" t="s">
        <v>87</v>
      </c>
      <c r="Z2" s="72" t="s">
        <v>88</v>
      </c>
      <c r="AA2" s="72" t="s">
        <v>89</v>
      </c>
      <c r="AB2" s="74" t="s">
        <v>124</v>
      </c>
      <c r="AC2" s="74" t="s">
        <v>125</v>
      </c>
      <c r="AD2" s="74" t="s">
        <v>126</v>
      </c>
      <c r="AE2" s="72" t="s">
        <v>34</v>
      </c>
      <c r="AF2" s="72" t="s">
        <v>61</v>
      </c>
      <c r="AG2" s="72" t="s">
        <v>62</v>
      </c>
      <c r="AH2" s="72" t="s">
        <v>35</v>
      </c>
      <c r="AI2" s="72" t="s">
        <v>127</v>
      </c>
      <c r="AJ2" s="72" t="s">
        <v>128</v>
      </c>
      <c r="AK2" s="72" t="s">
        <v>129</v>
      </c>
      <c r="AL2" s="72" t="s">
        <v>130</v>
      </c>
      <c r="AM2" s="72" t="s">
        <v>131</v>
      </c>
      <c r="AN2" s="72" t="s">
        <v>132</v>
      </c>
      <c r="AO2" s="72" t="s">
        <v>133</v>
      </c>
      <c r="AP2" s="72" t="s">
        <v>134</v>
      </c>
      <c r="AQ2" s="75" t="s">
        <v>54</v>
      </c>
      <c r="AR2" s="75" t="s">
        <v>55</v>
      </c>
      <c r="AS2" s="75" t="s">
        <v>51</v>
      </c>
      <c r="AT2" s="75" t="s">
        <v>52</v>
      </c>
      <c r="AU2" s="75" t="s">
        <v>53</v>
      </c>
      <c r="AV2" s="75" t="s">
        <v>56</v>
      </c>
      <c r="AW2" s="75" t="s">
        <v>69</v>
      </c>
      <c r="AX2" s="75" t="s">
        <v>58</v>
      </c>
      <c r="AY2" s="75" t="s">
        <v>59</v>
      </c>
      <c r="AZ2" s="75" t="s">
        <v>71</v>
      </c>
      <c r="BA2" s="75" t="s">
        <v>72</v>
      </c>
      <c r="BB2" s="76" t="s">
        <v>135</v>
      </c>
      <c r="BC2" s="76" t="s">
        <v>90</v>
      </c>
      <c r="BD2" s="77" t="s">
        <v>136</v>
      </c>
      <c r="BE2" s="77" t="s">
        <v>137</v>
      </c>
      <c r="BF2" s="77" t="s">
        <v>138</v>
      </c>
      <c r="BG2" s="77" t="s">
        <v>139</v>
      </c>
      <c r="BH2" s="77" t="s">
        <v>140</v>
      </c>
      <c r="BI2" s="77" t="s">
        <v>141</v>
      </c>
      <c r="BJ2" s="77" t="s">
        <v>142</v>
      </c>
      <c r="BK2" s="77" t="s">
        <v>143</v>
      </c>
      <c r="BL2" s="77" t="s">
        <v>144</v>
      </c>
      <c r="BM2" s="77" t="s">
        <v>145</v>
      </c>
      <c r="BN2" s="77" t="s">
        <v>146</v>
      </c>
      <c r="BO2" s="77" t="s">
        <v>147</v>
      </c>
    </row>
    <row r="3" spans="1:67" x14ac:dyDescent="0.25">
      <c r="A3" s="69" t="str">
        <f>'Resumen General'!C5</f>
        <v>FONDO NACIONAL DEL TURISMO - FONTUR</v>
      </c>
      <c r="B3" s="69" t="str">
        <f>'Resumen General'!C6</f>
        <v>DANIEL ALFREDO MUÑOZ LOPEZ</v>
      </c>
      <c r="C3" s="69">
        <f>+ABOGADOS!D11</f>
        <v>10</v>
      </c>
      <c r="D3" s="69">
        <f>+ABOGADOS!D12</f>
        <v>14</v>
      </c>
      <c r="E3" s="69">
        <f>+ABOGADOS!D13</f>
        <v>14</v>
      </c>
      <c r="F3" s="69">
        <f>+ABOGADOS!D14</f>
        <v>0</v>
      </c>
      <c r="G3" s="69">
        <f>+ABOGADOS!D17</f>
        <v>1</v>
      </c>
      <c r="H3" s="69">
        <f>+ABOGADOS!D18</f>
        <v>0</v>
      </c>
      <c r="I3" s="69">
        <f>+ABOGADOS!G10</f>
        <v>10</v>
      </c>
      <c r="J3" s="69">
        <f>+ABOGADOS!G11</f>
        <v>10</v>
      </c>
      <c r="K3" s="69">
        <f>+ABOGADOS!G12</f>
        <v>9</v>
      </c>
      <c r="L3" s="69">
        <f>+ABOGADOS!G17</f>
        <v>8</v>
      </c>
      <c r="M3" s="69">
        <f>+ABOGADOS!G18</f>
        <v>0</v>
      </c>
      <c r="N3" s="69">
        <f>+ABOGADOS!G19</f>
        <v>0</v>
      </c>
      <c r="O3" s="69">
        <f>+ABOGADOS!G21</f>
        <v>0</v>
      </c>
      <c r="P3" s="69">
        <f>+JUDICIALES!D11</f>
        <v>61</v>
      </c>
      <c r="Q3" s="69">
        <f>+JUDICIALES!D12</f>
        <v>61</v>
      </c>
      <c r="R3" s="69">
        <f>+JUDICIALES!D13</f>
        <v>0</v>
      </c>
      <c r="S3" s="69">
        <f>+JUDICIALES!D16</f>
        <v>2</v>
      </c>
      <c r="T3" s="69">
        <f>+JUDICIALES!D17</f>
        <v>2</v>
      </c>
      <c r="U3" s="69">
        <f>+JUDICIALES!D21</f>
        <v>26</v>
      </c>
      <c r="V3" s="69">
        <f>+JUDICIALES!D22</f>
        <v>3</v>
      </c>
      <c r="W3" s="69">
        <f>JUDICIALES!D28</f>
        <v>2</v>
      </c>
      <c r="X3" s="69">
        <f>JUDICIALES!D29</f>
        <v>2</v>
      </c>
      <c r="Y3" s="69">
        <f>JUDICIALES!D30</f>
        <v>0</v>
      </c>
      <c r="Z3" s="69">
        <f>JUDICIALES!D31</f>
        <v>1</v>
      </c>
      <c r="AA3" s="69">
        <f>JUDICIALES!D32</f>
        <v>0</v>
      </c>
      <c r="AB3" s="69">
        <f>+JUDICIALES!G9</f>
        <v>0</v>
      </c>
      <c r="AC3" s="69">
        <f>+JUDICIALES!G10</f>
        <v>0</v>
      </c>
      <c r="AD3" s="69">
        <f>+JUDICIALES!G11</f>
        <v>0</v>
      </c>
      <c r="AE3" s="69">
        <f>+JUDICIALES!G15</f>
        <v>61</v>
      </c>
      <c r="AF3" s="69">
        <f>+JUDICIALES!G16</f>
        <v>19</v>
      </c>
      <c r="AG3" s="69">
        <f>+JUDICIALES!G17</f>
        <v>41</v>
      </c>
      <c r="AH3" s="69">
        <f>+JUDICIALES!G18</f>
        <v>1</v>
      </c>
      <c r="AI3" s="69">
        <f>+JUDICIALES!G21</f>
        <v>40</v>
      </c>
      <c r="AJ3" s="69">
        <f>+JUDICIALES!G22</f>
        <v>15</v>
      </c>
      <c r="AK3" s="69">
        <f>+JUDICIALES!G23</f>
        <v>3</v>
      </c>
      <c r="AL3" s="69">
        <f>+JUDICIALES!G24</f>
        <v>2</v>
      </c>
      <c r="AM3" s="69">
        <f>+JUDICIALES!H21</f>
        <v>40</v>
      </c>
      <c r="AN3" s="69">
        <f>+JUDICIALES!H22</f>
        <v>2</v>
      </c>
      <c r="AO3" s="69">
        <f>+JUDICIALES!H23</f>
        <v>2</v>
      </c>
      <c r="AP3" s="69">
        <f>+JUDICIALES!H24</f>
        <v>0</v>
      </c>
      <c r="AQ3" s="69">
        <f>+PREJUDICIALES!D10</f>
        <v>4</v>
      </c>
      <c r="AR3" s="69">
        <f>+PREJUDICIALES!D11</f>
        <v>4</v>
      </c>
      <c r="AS3" s="69">
        <f>+PREJUDICIALES!D12</f>
        <v>4</v>
      </c>
      <c r="AT3" s="69">
        <f>+PREJUDICIALES!D13</f>
        <v>0</v>
      </c>
      <c r="AU3" s="69">
        <f>+PREJUDICIALES!D14</f>
        <v>0</v>
      </c>
      <c r="AV3" s="69">
        <f>+PREJUDICIALES!D17</f>
        <v>0</v>
      </c>
      <c r="AW3" s="69">
        <f>+PREJUDICIALES!D18</f>
        <v>0</v>
      </c>
      <c r="AX3" s="69">
        <f>+PREJUDICIALES!G12</f>
        <v>0</v>
      </c>
      <c r="AY3" s="69">
        <f>+PREJUDICIALES!G13</f>
        <v>0</v>
      </c>
      <c r="AZ3" s="69">
        <f>+ARBITRAMENTOS!D9</f>
        <v>1</v>
      </c>
      <c r="BA3" s="69">
        <f>+ARBITRAMENTOS!D10</f>
        <v>1</v>
      </c>
      <c r="BB3" s="69">
        <f>ARBITRAMENTOS!G9</f>
        <v>0</v>
      </c>
      <c r="BC3" s="69">
        <f>ARBITRAMENTOS!G10</f>
        <v>0</v>
      </c>
      <c r="BD3" s="69" t="str">
        <f>+PAGOS!D9</f>
        <v>No</v>
      </c>
      <c r="BE3" s="69">
        <f>+PAGOS!D10</f>
        <v>0</v>
      </c>
      <c r="BF3" s="70">
        <f>USUARIOS!D9</f>
        <v>44638</v>
      </c>
      <c r="BG3" s="70">
        <f>ABOGADOS!D7</f>
        <v>44638</v>
      </c>
      <c r="BH3" s="70">
        <f>JUDICIALES!D8</f>
        <v>44638</v>
      </c>
      <c r="BI3" s="69" t="str">
        <f>+USUARIOS!C19</f>
        <v>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v>
      </c>
      <c r="BJ3" s="69" t="str">
        <f>+ABOGADOS!C22</f>
        <v>Nota 1: La totalidad de los abogados que se encontraban litigando al 30/06/2021, se encontraban registrados en eKOGUI con su correo electronico actualizado.
Nota 2: Los ABOGADOS activos en eKOGUI que no se encuentran litigando cumplen funciones de apoyo, por ende, la diferencia NO corresponde a abogados desactualizados o que deban ser inactivados en el sistema.
Nota 3:El abogado retirado en el segundo semestre de 2021 no inactivado de eKOGUI corresponde a Ángel Daniel Caro Muñoz cc 1014185703 retirado el 7 de octubre de 2021
Nota 4: El abogado sin información laboral registrada en eKOGUI corresponde a Luis Carlos Gonzalez Jimenez
Nota 5: Los abogados que no presentan evidencia de capacitación corresponden a los siguientes: Carlos Eduardo Medellin y Andrea Carolina Martinez</v>
      </c>
      <c r="BK3" s="69" t="str">
        <f>+JUDICIALES!F28</f>
        <v>Nota 1. La fuente de información oficial de los procesos judiciales del P.A. FONTUR es el sistema eKOGUI
Nota 2: Los procesos ACTIVOS que presentan "PROCESO_TERMINADO" en la columna "Estado General Del Proceso" corresponden a los siguientes: 939305, 2060213 y 2152874
Nota 3: Los procesos cuya calificación del riesgo se efectuó antes del 30 de junio de 2021, fueron actualizados durante el primer semestre de 2021.
Nota 4: El proceso que no presenta calificación corresponde al 2177531 el cual fue actualizado el 2 de marzo de 2022.
Nota 5: Los procesos con probabilidad media con provisión corresponden a los siguientes; 2081551 y 2112816 y  los procesos con probabilidad baja con provisión corresponden a los siguientes; 2115085 y  2143880</v>
      </c>
      <c r="BL3" s="69" t="str">
        <f>+PREJUDICIALES!F17</f>
        <v>Nota 1: La fuente de información oficial de las conciliaciones Prejudiciales es eKOGUI</v>
      </c>
      <c r="BM3" s="69" t="str">
        <f>+ARBITRAMENTOS!C13</f>
        <v>Nota 1: La fuente de información oficial de las conciliaciones Prejudiciales es Ekogui</v>
      </c>
      <c r="BN3" s="69" t="str">
        <f>+PAGOS!F8</f>
        <v>De acuerdo a lo informado por el Jefe Jurídico, el PA FONTUR, no se encuentra relacionado en el artículo 2.9.1.1.3 del Decreto 1068 de 2015, que establece que entidades están a usar el SIIF Nación.</v>
      </c>
      <c r="BO3" s="69" t="str">
        <f>'Resumen General'!B23</f>
        <v>Ver observaciones en cada uno de los modulos</v>
      </c>
    </row>
    <row r="12" spans="1:67" x14ac:dyDescent="0.25">
      <c r="A12" s="69" t="s">
        <v>37</v>
      </c>
      <c r="B12" s="69" t="s">
        <v>15</v>
      </c>
      <c r="C12" s="72" t="s">
        <v>16</v>
      </c>
      <c r="D12" s="72" t="s">
        <v>6</v>
      </c>
      <c r="E12" s="72" t="s">
        <v>7</v>
      </c>
      <c r="F12" s="72" t="s">
        <v>17</v>
      </c>
      <c r="G12" s="72" t="s">
        <v>79</v>
      </c>
    </row>
    <row r="13" spans="1:67" x14ac:dyDescent="0.25">
      <c r="A13" s="69" t="str">
        <f t="shared" ref="A13:A18" si="0">$A$3</f>
        <v>FONDO NACIONAL DEL TURISMO - FONTUR</v>
      </c>
      <c r="B13" s="69" t="s">
        <v>0</v>
      </c>
      <c r="C13" s="69" t="str">
        <f>USUARIOS!C12</f>
        <v>No</v>
      </c>
      <c r="D13" s="71">
        <f>USUARIOS!D12</f>
        <v>0</v>
      </c>
      <c r="E13" s="69">
        <f>USUARIOS!E12</f>
        <v>0</v>
      </c>
      <c r="F13" s="71">
        <f>USUARIOS!F12</f>
        <v>0</v>
      </c>
      <c r="G13" s="69" t="str">
        <f>USUARIOS!G12</f>
        <v/>
      </c>
    </row>
    <row r="14" spans="1:67" x14ac:dyDescent="0.25">
      <c r="A14" s="69" t="str">
        <f t="shared" si="0"/>
        <v>FONDO NACIONAL DEL TURISMO - FONTUR</v>
      </c>
      <c r="B14" s="69" t="s">
        <v>1</v>
      </c>
      <c r="C14" s="69" t="str">
        <f>USUARIOS!C13</f>
        <v>Si</v>
      </c>
      <c r="D14" s="71">
        <f>USUARIOS!D13</f>
        <v>44337</v>
      </c>
      <c r="E14" s="69" t="str">
        <f>USUARIOS!E13</f>
        <v>DIEGO FERNANDO LOPEZ ROMERO</v>
      </c>
      <c r="F14" s="71">
        <f>USUARIOS!F13</f>
        <v>43992</v>
      </c>
      <c r="G14" s="69" t="str">
        <f>USUARIOS!G13</f>
        <v/>
      </c>
    </row>
    <row r="15" spans="1:67" x14ac:dyDescent="0.25">
      <c r="A15" s="69" t="str">
        <f t="shared" si="0"/>
        <v>FONDO NACIONAL DEL TURISMO - FONTUR</v>
      </c>
      <c r="B15" s="69" t="s">
        <v>2</v>
      </c>
      <c r="C15" s="69" t="str">
        <f>USUARIOS!C14</f>
        <v>No</v>
      </c>
      <c r="D15" s="71">
        <f>USUARIOS!D14</f>
        <v>0</v>
      </c>
      <c r="E15" s="69">
        <f>USUARIOS!E14</f>
        <v>0</v>
      </c>
      <c r="F15" s="71">
        <f>USUARIOS!F14</f>
        <v>0</v>
      </c>
      <c r="G15" s="69" t="str">
        <f>USUARIOS!G14</f>
        <v/>
      </c>
    </row>
    <row r="16" spans="1:67" x14ac:dyDescent="0.25">
      <c r="A16" s="69" t="str">
        <f t="shared" si="0"/>
        <v>FONDO NACIONAL DEL TURISMO - FONTUR</v>
      </c>
      <c r="B16" s="69" t="s">
        <v>3</v>
      </c>
      <c r="C16" s="69" t="str">
        <f>USUARIOS!C15</f>
        <v>Si</v>
      </c>
      <c r="D16" s="71">
        <f>USUARIOS!D15</f>
        <v>42388</v>
      </c>
      <c r="E16" s="69" t="str">
        <f>USUARIOS!E15</f>
        <v>DANIEL ALFREDO MUÑOZ LOPEZ</v>
      </c>
      <c r="F16" s="71">
        <f>USUARIOS!F15</f>
        <v>44614</v>
      </c>
      <c r="G16" s="69" t="str">
        <f>USUARIOS!G15</f>
        <v/>
      </c>
    </row>
    <row r="17" spans="1:7" x14ac:dyDescent="0.25">
      <c r="A17" s="69" t="str">
        <f t="shared" si="0"/>
        <v>FONDO NACIONAL DEL TURISMO - FONTUR</v>
      </c>
      <c r="B17" s="69" t="s">
        <v>4</v>
      </c>
      <c r="C17" s="69" t="str">
        <f>USUARIOS!C16</f>
        <v>Si</v>
      </c>
      <c r="D17" s="71">
        <f>USUARIOS!D16</f>
        <v>44445</v>
      </c>
      <c r="E17" s="69" t="str">
        <f>USUARIOS!E16</f>
        <v>CAMILO ALFONSO HERRERA URREGO</v>
      </c>
      <c r="F17" s="71">
        <f>USUARIOS!F16</f>
        <v>44629</v>
      </c>
      <c r="G17" s="69" t="str">
        <f>USUARIOS!G16</f>
        <v/>
      </c>
    </row>
    <row r="18" spans="1:7" x14ac:dyDescent="0.25">
      <c r="A18" s="69" t="str">
        <f t="shared" si="0"/>
        <v>FONDO NACIONAL DEL TURISMO - FONTUR</v>
      </c>
      <c r="B18" s="69" t="s">
        <v>5</v>
      </c>
      <c r="C18" s="69" t="str">
        <f>USUARIOS!C17</f>
        <v>Si</v>
      </c>
      <c r="D18" s="71">
        <f>USUARIOS!D17</f>
        <v>44483</v>
      </c>
      <c r="E18" s="69" t="str">
        <f>USUARIOS!E17</f>
        <v>SANDRA VERONICA BETANCUR RESTREPO</v>
      </c>
      <c r="F18" s="71">
        <f>USUARIOS!F17</f>
        <v>44512</v>
      </c>
      <c r="G18" s="69" t="str">
        <f>USUARIOS!G17</f>
        <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0" ma:contentTypeDescription="Crear nuevo documento." ma:contentTypeScope="" ma:versionID="821dc59d7f60b88bdde1f08f312391fd">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d56805888b0f8f72253620f5cc635f93"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Helga_x0020_Hern_x00e1_ndez xmlns="47cb3e12-45b3-4531-b84f-87359d4b7239">
      <UserInfo>
        <DisplayName/>
        <AccountId xsi:nil="true"/>
        <AccountType/>
      </UserInfo>
    </Helga_x0020_Hern_x00e1_ndez>
    <_ip_UnifiedCompliancePolicyProperties xmlns="http://schemas.microsoft.com/sharepoint/v3" xsi:nil="true"/>
    <_Flow_SignoffStatus xmlns="47cb3e12-45b3-4531-b84f-87359d4b7239" xsi:nil="true"/>
    <lcf76f155ced4ddcb4097134ff3c332f xmlns="47cb3e12-45b3-4531-b84f-87359d4b7239">
      <Terms xmlns="http://schemas.microsoft.com/office/infopath/2007/PartnerControls"/>
    </lcf76f155ced4ddcb4097134ff3c332f>
    <TaxCatchAll xmlns="838bd66f-6e2c-4628-b9f9-6ffebaa227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FA1D75-5CC5-486A-8FDA-57C782714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838bd66f-6e2c-4628-b9f9-6ffebaa22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7C9739-DCFF-4D53-9274-324055B61978}">
  <ds:schemaRefs>
    <ds:schemaRef ds:uri="http://schemas.microsoft.com/office/2006/metadata/properties"/>
    <ds:schemaRef ds:uri="http://schemas.microsoft.com/office/infopath/2007/PartnerControls"/>
    <ds:schemaRef ds:uri="http://schemas.microsoft.com/sharepoint/v3"/>
    <ds:schemaRef ds:uri="47cb3e12-45b3-4531-b84f-87359d4b7239"/>
    <ds:schemaRef ds:uri="838bd66f-6e2c-4628-b9f9-6ffebaa227a8"/>
  </ds:schemaRefs>
</ds:datastoreItem>
</file>

<file path=customXml/itemProps3.xml><?xml version="1.0" encoding="utf-8"?>
<ds:datastoreItem xmlns:ds="http://schemas.openxmlformats.org/officeDocument/2006/customXml" ds:itemID="{84A25C5A-88E8-4748-95EF-61377A4CF2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Andrea Luengas Pachon</cp:lastModifiedBy>
  <dcterms:created xsi:type="dcterms:W3CDTF">2020-06-25T21:16:25Z</dcterms:created>
  <dcterms:modified xsi:type="dcterms:W3CDTF">2022-08-17T22:04:00Z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MediaServiceImageTags">
    <vt:lpwstr/>
  </property>
</Properties>
</file>